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15" windowWidth="15330" windowHeight="9510" activeTab="0"/>
  </bookViews>
  <sheets>
    <sheet name="Appendix 1" sheetId="1" r:id="rId1"/>
    <sheet name="Appendix 2" sheetId="2" r:id="rId2"/>
    <sheet name="Appendix 3" sheetId="3" r:id="rId3"/>
    <sheet name="Appendix 4" sheetId="4" r:id="rId4"/>
  </sheets>
  <externalReferences>
    <externalReference r:id="rId7"/>
    <externalReference r:id="rId8"/>
  </externalReferences>
  <definedNames>
    <definedName name="ARTS___LEISURE" localSheetId="3">#REF!</definedName>
    <definedName name="ARTS___LEISURE">#REF!</definedName>
    <definedName name="Barton_Moss_Primary_School" localSheetId="3">#REF!</definedName>
    <definedName name="Barton_Moss_Primary_School">#REF!</definedName>
    <definedName name="Cadishead_Infant_Junior_School" localSheetId="3">#REF!</definedName>
    <definedName name="Cadishead_Infant_Junior_School">#REF!</definedName>
    <definedName name="CAPITAL_CHALLENGE" localSheetId="3">#REF!</definedName>
    <definedName name="CAPITAL_CHALLENGE">#REF!</definedName>
    <definedName name="COUNTRYSIDE_PARTNERSHIP" localSheetId="3">#REF!</definedName>
    <definedName name="COUNTRYSIDE_PARTNERSHIP">#REF!</definedName>
    <definedName name="EDUCATION" localSheetId="3">#REF!</definedName>
    <definedName name="EDUCATION">#REF!</definedName>
    <definedName name="ENVIRONMENTAL___CONSUMER_SERVICES" localSheetId="3">#REF!</definedName>
    <definedName name="ENVIRONMENTAL___CONSUMER_SERVICES">#REF!</definedName>
    <definedName name="FINANCE" localSheetId="3">#REF!</definedName>
    <definedName name="FINANCE">#REF!</definedName>
    <definedName name="HIGHWAYS" localSheetId="3">#REF!</definedName>
    <definedName name="HIGHWAYS">#REF!</definedName>
    <definedName name="HOUSING" localSheetId="3">#REF!</definedName>
    <definedName name="HOUSING">#REF!</definedName>
    <definedName name="MANAGEMENT_SERVICES" localSheetId="3">#REF!</definedName>
    <definedName name="MANAGEMENT_SERVICES">#REF!</definedName>
    <definedName name="POLICY___RESOURCES" localSheetId="3">#REF!</definedName>
    <definedName name="POLICY___RESOURCES">#REF!</definedName>
    <definedName name="_xlnm.Print_Area" localSheetId="0">'Appendix 1'!$C$1:$BD$392</definedName>
    <definedName name="_xlnm.Print_Area" localSheetId="1">'Appendix 2'!$B$1:$F$53</definedName>
    <definedName name="_xlnm.Print_Area" localSheetId="3">'Appendix 4'!$B$3:$M$19</definedName>
    <definedName name="_xlnm.Print_Titles" localSheetId="0">'Appendix 1'!$C:$D,'Appendix 1'!$1:$4</definedName>
    <definedName name="_xlnm.Print_Titles" localSheetId="1">'Appendix 2'!$4:$10</definedName>
    <definedName name="SINGLE_REGENERATION_BUDGET_1" localSheetId="3">#REF!</definedName>
    <definedName name="SINGLE_REGENERATION_BUDGET_1">#REF!</definedName>
    <definedName name="SINGLE_REGENERATION_BUDGET_2" localSheetId="3">#REF!</definedName>
    <definedName name="SINGLE_REGENERATION_BUDGET_2">#REF!</definedName>
    <definedName name="SINGLE_REGENERATION_BUDGET_3" localSheetId="3">#REF!</definedName>
    <definedName name="SINGLE_REGENERATION_BUDGET_3">#REF!</definedName>
    <definedName name="SOCIAL_SERVICES" localSheetId="3">#REF!</definedName>
    <definedName name="SOCIAL_SERVICES">#REF!</definedName>
  </definedNames>
  <calcPr fullCalcOnLoad="1"/>
</workbook>
</file>

<file path=xl/comments1.xml><?xml version="1.0" encoding="utf-8"?>
<comments xmlns="http://schemas.openxmlformats.org/spreadsheetml/2006/main">
  <authors>
    <author>City of Salford</author>
  </authors>
  <commentList>
    <comment ref="W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single capital pot
9001
</t>
        </r>
      </text>
    </comment>
    <comment ref="X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ringfenced
9003</t>
        </r>
      </text>
    </comment>
    <comment ref="AA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9007
COLUMN SHOWS CAP RECEIPTS REQUIRED NOT THOSE AVAILABLE</t>
        </r>
      </text>
    </comment>
    <comment ref="AH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9027
</t>
        </r>
      </text>
    </comment>
    <comment ref="AQ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9029</t>
        </r>
      </text>
    </comment>
    <comment ref="AP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9057
</t>
        </r>
      </text>
    </comment>
    <comment ref="AI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9055</t>
        </r>
      </text>
    </comment>
    <comment ref="AK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9045</t>
        </r>
      </text>
    </comment>
    <comment ref="AL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9043</t>
        </r>
      </text>
    </comment>
    <comment ref="AE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 other govt grants
9037 other grants
9039 privat sector cont
9041 other cont
</t>
        </r>
      </text>
    </comment>
    <comment ref="Z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9011
</t>
        </r>
      </text>
    </comment>
    <comment ref="AU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C26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04/05
</t>
        </r>
      </text>
    </comment>
    <comment ref="D5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
</t>
        </r>
      </text>
    </comment>
    <comment ref="D20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
</t>
        </r>
      </text>
    </comment>
    <comment ref="D27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21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21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32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18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</t>
        </r>
      </text>
    </comment>
    <comment ref="D18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D17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Y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9001 unsupported borrowing</t>
        </r>
      </text>
    </comment>
    <comment ref="AF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</t>
        </r>
      </text>
    </comment>
    <comment ref="AG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
</t>
        </r>
      </text>
    </comment>
    <comment ref="AM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
</t>
        </r>
      </text>
    </comment>
    <comment ref="AN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AO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AR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
</t>
        </r>
      </text>
    </comment>
    <comment ref="AS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
</t>
        </r>
      </text>
    </comment>
    <comment ref="D21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04/05 office moves budget unallocated at end of year, reduces carry forward of office 
moves spend
</t>
        </r>
      </text>
    </comment>
    <comment ref="H15" authorId="0">
      <text>
        <r>
          <rPr>
            <sz val="8"/>
            <rFont val="Tahoma"/>
            <family val="2"/>
          </rPr>
          <t xml:space="preserve">this line represents HMRF monthly cash flow estimate
it is used to cash flow all private sector programme pro rata
</t>
        </r>
      </text>
    </comment>
    <comment ref="H42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winton and belvedere</t>
        </r>
      </text>
    </comment>
    <comment ref="Z91" authorId="0">
      <text>
        <r>
          <rPr>
            <sz val="8"/>
            <rFont val="Tahoma"/>
            <family val="2"/>
          </rPr>
          <t>Barton moss contribution
0.036  goes through at year end as an appropriation, not as a contribution</t>
        </r>
      </text>
    </comment>
    <comment ref="C15" authorId="0">
      <text>
        <r>
          <rPr>
            <sz val="8"/>
            <rFont val="Tahoma"/>
            <family val="0"/>
          </rPr>
          <t xml:space="preserve">Loan to the Higher Broughton Partnership
£0.466m capital receipts of unsupported borrowing if no receipts available
</t>
        </r>
      </text>
    </comment>
    <comment ref="AA267" authorId="0">
      <text>
        <r>
          <rPr>
            <b/>
            <sz val="8"/>
            <rFont val="Tahoma"/>
            <family val="0"/>
          </rPr>
          <t>90k cap receipts from windfall footpath repairs pot</t>
        </r>
      </text>
    </comment>
    <comment ref="AA372" authorId="0">
      <text>
        <r>
          <rPr>
            <b/>
            <sz val="8"/>
            <rFont val="Tahoma"/>
            <family val="0"/>
          </rPr>
          <t>90k to detroit bridge</t>
        </r>
      </text>
    </comment>
    <comment ref="D83" authorId="0">
      <text>
        <r>
          <rPr>
            <b/>
            <sz val="8"/>
            <rFont val="Tahoma"/>
            <family val="0"/>
          </rPr>
          <t>block 3 forecast 5716 need to include overhead and c/way stage 1 less resources 4126. Then adjust for brought forward receipts, central salford cont and other contributions</t>
        </r>
      </text>
    </comment>
    <comment ref="AA359" authorId="0">
      <text>
        <r>
          <rPr>
            <sz val="8"/>
            <rFont val="Tahoma"/>
            <family val="0"/>
          </rPr>
          <t xml:space="preserve">£0.030m
 04/05 office moves budget unallocated at end of year, reduces carry forward of office 
moves spend
</t>
        </r>
      </text>
    </comment>
    <comment ref="AA186" authorId="0">
      <text>
        <r>
          <rPr>
            <sz val="8"/>
            <rFont val="Tahoma"/>
            <family val="2"/>
          </rPr>
          <t xml:space="preserve">cap receipts carried forward on library service computerisation line
</t>
        </r>
      </text>
    </comment>
  </commentList>
</comments>
</file>

<file path=xl/comments2.xml><?xml version="1.0" encoding="utf-8"?>
<comments xmlns="http://schemas.openxmlformats.org/spreadsheetml/2006/main">
  <authors>
    <author>City of Salford</author>
  </authors>
  <commentList>
    <comment ref="C3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
LINE 5
</t>
        </r>
      </text>
    </comment>
    <comment ref="C1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1
</t>
        </r>
      </text>
    </comment>
    <comment ref="C2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2</t>
        </r>
      </text>
    </comment>
    <comment ref="C3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3
</t>
        </r>
      </text>
    </comment>
    <comment ref="C3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4</t>
        </r>
      </text>
    </comment>
    <comment ref="C3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6</t>
        </r>
      </text>
    </comment>
    <comment ref="F2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2</t>
        </r>
      </text>
    </comment>
  </commentList>
</comments>
</file>

<file path=xl/sharedStrings.xml><?xml version="1.0" encoding="utf-8"?>
<sst xmlns="http://schemas.openxmlformats.org/spreadsheetml/2006/main" count="868" uniqueCount="735">
  <si>
    <t>2005/06 New Starts - Partners</t>
  </si>
  <si>
    <t>2005/06 New Starts Citywide</t>
  </si>
  <si>
    <t>2004/05 New Starts</t>
  </si>
  <si>
    <t>2004/05 Insulation Schemes</t>
  </si>
  <si>
    <t>c00063 7015</t>
  </si>
  <si>
    <t>C00063 7025</t>
  </si>
  <si>
    <t>2003/04 New Starts</t>
  </si>
  <si>
    <t>SRB/Estate Action/ CC Schemes 1</t>
  </si>
  <si>
    <t>PPR Programme</t>
  </si>
  <si>
    <t>Page 11</t>
  </si>
  <si>
    <t>Demolitions</t>
  </si>
  <si>
    <t>Page 12</t>
  </si>
  <si>
    <t>Retentions/Balances</t>
  </si>
  <si>
    <t>Page 13</t>
  </si>
  <si>
    <t>New Deal - Kersal/Charlestown</t>
  </si>
  <si>
    <t>Schools networking lease</t>
  </si>
  <si>
    <t>C00054</t>
  </si>
  <si>
    <t>F00022</t>
  </si>
  <si>
    <t>F00032</t>
  </si>
  <si>
    <t>F00018</t>
  </si>
  <si>
    <t>F00007</t>
  </si>
  <si>
    <t>F00023</t>
  </si>
  <si>
    <t>F00014</t>
  </si>
  <si>
    <t>F00008</t>
  </si>
  <si>
    <t>Pendleton Church Area Study</t>
  </si>
  <si>
    <t>Disposal Buille Hill</t>
  </si>
  <si>
    <t>Disposal PCL/Chapel Street</t>
  </si>
  <si>
    <t>Demolition New Croft</t>
  </si>
  <si>
    <t>Demolition Ordsall District Centre</t>
  </si>
  <si>
    <t>Disposal Chapel Wharf</t>
  </si>
  <si>
    <t>Land Adjacent to Duchy Inn</t>
  </si>
  <si>
    <t>Adelphi St and Meadow Road</t>
  </si>
  <si>
    <t>D06110</t>
  </si>
  <si>
    <t>D06116</t>
  </si>
  <si>
    <t>D06118</t>
  </si>
  <si>
    <t>D06122</t>
  </si>
  <si>
    <t>D06123</t>
  </si>
  <si>
    <t>D06126</t>
  </si>
  <si>
    <t>D06127</t>
  </si>
  <si>
    <t>D07014</t>
  </si>
  <si>
    <t>Salford Shopping Food Retail Development</t>
  </si>
  <si>
    <t>d08000</t>
  </si>
  <si>
    <t>d08024</t>
  </si>
  <si>
    <t>** Shown as funded by capital receipts, if receipts are unavailable unsupported borrowing will be used</t>
  </si>
  <si>
    <t>d08026</t>
  </si>
  <si>
    <t>d08030</t>
  </si>
  <si>
    <t>d08034</t>
  </si>
  <si>
    <t>d08035</t>
  </si>
  <si>
    <t>d08036</t>
  </si>
  <si>
    <t>d08040</t>
  </si>
  <si>
    <t>d08041</t>
  </si>
  <si>
    <t>d08045</t>
  </si>
  <si>
    <t>d08048</t>
  </si>
  <si>
    <t>d08051</t>
  </si>
  <si>
    <t>d08052</t>
  </si>
  <si>
    <t>d08055</t>
  </si>
  <si>
    <t>d08059</t>
  </si>
  <si>
    <t>d08060</t>
  </si>
  <si>
    <t>d08064</t>
  </si>
  <si>
    <t>d08066</t>
  </si>
  <si>
    <t>d08067</t>
  </si>
  <si>
    <t>Little Hulton Childrens Centres</t>
  </si>
  <si>
    <t>Larkhill Childrens Centres</t>
  </si>
  <si>
    <t>Winton Nursery</t>
  </si>
  <si>
    <t>Barton Moss Neighbourhood Nursery</t>
  </si>
  <si>
    <t>Belvedere</t>
  </si>
  <si>
    <t>Irlam Childrens Centres</t>
  </si>
  <si>
    <t>North Swinton Childrens Centres</t>
  </si>
  <si>
    <t>Apr 05</t>
  </si>
  <si>
    <t>Mar 06</t>
  </si>
  <si>
    <t>Aug 06</t>
  </si>
  <si>
    <t>Feb 04</t>
  </si>
  <si>
    <t>Dec 05</t>
  </si>
  <si>
    <t>Aug 07</t>
  </si>
  <si>
    <t>Apr 01</t>
  </si>
  <si>
    <t>May 04</t>
  </si>
  <si>
    <t>Aug 05</t>
  </si>
  <si>
    <t>June 05</t>
  </si>
  <si>
    <t xml:space="preserve">Chapel st receipts </t>
  </si>
  <si>
    <t>Economic Development</t>
  </si>
  <si>
    <t>Cultural Quarter</t>
  </si>
  <si>
    <t>Public Realm Improvements</t>
  </si>
  <si>
    <t>Chapel Street Walking Plan</t>
  </si>
  <si>
    <t>Contribution to URC Business Plan</t>
  </si>
  <si>
    <t>Data centre ancillaries</t>
  </si>
  <si>
    <t>Private sector housing loan to partnership £0.466m Unsupported borrowing or capital receipts, if private sector housing underspends may be able to fund it within existing resource</t>
  </si>
  <si>
    <t>Crescent Police Station</t>
  </si>
  <si>
    <t>CHILDREN'S SERVICES</t>
  </si>
  <si>
    <t>CHILDREN'S SERVICES - TOTAL</t>
  </si>
  <si>
    <t>Children's Services</t>
  </si>
  <si>
    <t>Orthodox Jewish school</t>
  </si>
  <si>
    <t>Clarendon</t>
  </si>
  <si>
    <t>Fit City Worsley</t>
  </si>
  <si>
    <t>Eccles Recreation Grd/ Albert Park MUGA</t>
  </si>
  <si>
    <t>Winton park</t>
  </si>
  <si>
    <t>Beechfarm playing fields drainage</t>
  </si>
  <si>
    <t>F00037</t>
  </si>
  <si>
    <t>S06157</t>
  </si>
  <si>
    <t>Waterside 05/06 car parking</t>
  </si>
  <si>
    <t>Clarendon Fitness centre</t>
  </si>
  <si>
    <t>Bridgewater FC faclity</t>
  </si>
  <si>
    <t>Talmud Torah</t>
  </si>
  <si>
    <t>E05040</t>
  </si>
  <si>
    <t>E05034</t>
  </si>
  <si>
    <t>E05043</t>
  </si>
  <si>
    <t>E05021</t>
  </si>
  <si>
    <t>E05019</t>
  </si>
  <si>
    <t>E05027</t>
  </si>
  <si>
    <t>E05011</t>
  </si>
  <si>
    <t>E05036</t>
  </si>
  <si>
    <t>E05015</t>
  </si>
  <si>
    <t>Chapel Street/URC (04/05 Slippage)</t>
  </si>
  <si>
    <t>NWDA Headroom projects</t>
  </si>
  <si>
    <t>March</t>
  </si>
  <si>
    <t>S05106</t>
  </si>
  <si>
    <t>The Limes - Fire Safety</t>
  </si>
  <si>
    <t>S05107</t>
  </si>
  <si>
    <t>White Meadows - Fire Safety</t>
  </si>
  <si>
    <t>S09008</t>
  </si>
  <si>
    <t>Day Services Modernisation Unallocated</t>
  </si>
  <si>
    <t>S05109</t>
  </si>
  <si>
    <t>The Limes - Bathroom/laundry/anc space impr</t>
  </si>
  <si>
    <t>S06054</t>
  </si>
  <si>
    <t>Alexandra House - Bathroom  &amp; Toilets</t>
  </si>
  <si>
    <t>S06155</t>
  </si>
  <si>
    <t>Waterside - Replacement boiler</t>
  </si>
  <si>
    <t>S09010</t>
  </si>
  <si>
    <t>Brierley CC - Demolition stables/gym</t>
  </si>
  <si>
    <t>S09011</t>
  </si>
  <si>
    <t>Wardley CC - Car park/paved areas resurface</t>
  </si>
  <si>
    <t>S09012</t>
  </si>
  <si>
    <t>Wardley CC - Replacement boiler</t>
  </si>
  <si>
    <t>S09013</t>
  </si>
  <si>
    <t>Boothstown CC - Replacement boiler</t>
  </si>
  <si>
    <t>S08056</t>
  </si>
  <si>
    <t>Improving Information Management 2004/2005</t>
  </si>
  <si>
    <t>S08058</t>
  </si>
  <si>
    <t>Improving Information Management 2005/2006</t>
  </si>
  <si>
    <t>S04006</t>
  </si>
  <si>
    <t>Mental Health - S C E (2004/2005)</t>
  </si>
  <si>
    <t>S09003</t>
  </si>
  <si>
    <t>Boothstown / Worsley C C Refurb - Retention</t>
  </si>
  <si>
    <t>S09005</t>
  </si>
  <si>
    <t>Wardley Community Centre - Retention</t>
  </si>
  <si>
    <t>S09007</t>
  </si>
  <si>
    <t>Womens Centre</t>
  </si>
  <si>
    <t>S00001</t>
  </si>
  <si>
    <t>Alterations to Properties - Foster Carers</t>
  </si>
  <si>
    <t>S08057</t>
  </si>
  <si>
    <t>Integrated Children's Services 2004/5</t>
  </si>
  <si>
    <t>S08059</t>
  </si>
  <si>
    <t>Integrated Children's Services 2005/6</t>
  </si>
  <si>
    <t>S06051</t>
  </si>
  <si>
    <t>Humphrey Booth L B - Booth's Charity Funded</t>
  </si>
  <si>
    <t>S06052</t>
  </si>
  <si>
    <t>Humphrey Booth Ordsall - Booth's Charity Funded</t>
  </si>
  <si>
    <t>S09101</t>
  </si>
  <si>
    <t>STASH Day Centre</t>
  </si>
  <si>
    <t>.020 mental health contribution</t>
  </si>
  <si>
    <t>.002 community contribution</t>
  </si>
  <si>
    <t>.006 community contribution</t>
  </si>
  <si>
    <t>.019 humphrey booth</t>
  </si>
  <si>
    <t>.031 humphrey booth</t>
  </si>
  <si>
    <t>S06151</t>
  </si>
  <si>
    <t>Waterside Resource Centre</t>
  </si>
  <si>
    <t>NEW DEAL/ NORTH IRWELL</t>
  </si>
  <si>
    <t>Higher Broughton</t>
  </si>
  <si>
    <t>CLAREMONT / WEASTE</t>
  </si>
  <si>
    <t>ENTERPRISE PARK</t>
  </si>
  <si>
    <t>ORDSALL</t>
  </si>
  <si>
    <t>NON AREA BASED</t>
  </si>
  <si>
    <t>OUTER AREA / CITYWIDE</t>
  </si>
  <si>
    <t>PRIVATE SECTOR HOUSING</t>
  </si>
  <si>
    <t>PRIVATE SECTOR HOUSING -TOTAL</t>
  </si>
  <si>
    <t>PUBLIC SECTOR HOUSING</t>
  </si>
  <si>
    <t>PUBLIC SECTOR HOUSING - TOTAL</t>
  </si>
  <si>
    <t>Unsupported Borrowing</t>
  </si>
  <si>
    <t>Disposal</t>
  </si>
  <si>
    <t>Estimated Receipt</t>
  </si>
  <si>
    <t>Preliminaries/Marketing</t>
  </si>
  <si>
    <t>Legal/Planning</t>
  </si>
  <si>
    <t>Completion</t>
  </si>
  <si>
    <r>
      <t>TIMESCALES-RECEIPTS IN EXCESS OF £100,000</t>
    </r>
    <r>
      <rPr>
        <sz val="10"/>
        <rFont val="Arial"/>
        <family val="2"/>
      </rPr>
      <t xml:space="preserve"> </t>
    </r>
  </si>
  <si>
    <t>Sports Village</t>
  </si>
  <si>
    <t xml:space="preserve">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</si>
  <si>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</si>
  <si>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</si>
  <si>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</si>
  <si>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</si>
  <si>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</si>
  <si>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</si>
  <si>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</si>
  <si>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</si>
  <si>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</si>
  <si>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</si>
  <si>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</si>
  <si>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</si>
  <si>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D00003</t>
  </si>
  <si>
    <t>Cadishead Way Stage 1</t>
  </si>
  <si>
    <t>Desktop implementation team 3 posts</t>
  </si>
  <si>
    <t>Timing adjustments</t>
  </si>
  <si>
    <t>Red Rose Scheme</t>
  </si>
  <si>
    <t>Resources total (includes receipts required)</t>
  </si>
  <si>
    <t xml:space="preserve">adjust for actual reciepts </t>
  </si>
  <si>
    <t>Resources adjusted for forecast receipts</t>
  </si>
  <si>
    <t>Sufplus/(shortfall) in resources over programme</t>
  </si>
  <si>
    <t>Disposal Costs</t>
  </si>
  <si>
    <t>LIVIA Community Engagement Programme</t>
  </si>
  <si>
    <t>Salford Innovation Park</t>
  </si>
  <si>
    <t xml:space="preserve">Lead Member Corporate Services - 2005/06 Tender Approvals </t>
  </si>
  <si>
    <t>2006/07</t>
  </si>
  <si>
    <t xml:space="preserve">CAPITAL RECEIPTS 2005/06 </t>
  </si>
  <si>
    <r>
      <t xml:space="preserve">                                                         </t>
    </r>
    <r>
      <rPr>
        <b/>
        <u val="single"/>
        <sz val="10"/>
        <rFont val="Arial"/>
        <family val="2"/>
      </rPr>
      <t>2005/06 ESTIMATED CAPITAL RECEIPTS</t>
    </r>
  </si>
  <si>
    <t>2005/06 Estimate</t>
  </si>
  <si>
    <t>Implementing e government</t>
  </si>
  <si>
    <t>Arts and Leisure - Broughton Pool additional scheme</t>
  </si>
  <si>
    <t>Arts and Leisure - Irlam Pool additional scheme</t>
  </si>
  <si>
    <t xml:space="preserve">DDA arts and leisure </t>
  </si>
  <si>
    <t>City wide investment</t>
  </si>
  <si>
    <t>Highway and Community Safety</t>
  </si>
  <si>
    <t>Mini Bus</t>
  </si>
  <si>
    <t>Environmental/Shop Parade Improvements</t>
  </si>
  <si>
    <t>Riverside Bowling and Leisure Activity Centre</t>
  </si>
  <si>
    <t>Manchester Bolton Bury Canal</t>
  </si>
  <si>
    <t>Ordsall Neighbourhood office</t>
  </si>
  <si>
    <t>Eccles Town Centre Slipped from 04/05</t>
  </si>
  <si>
    <t>Detroit Bridge</t>
  </si>
  <si>
    <t>City Academy Access Road</t>
  </si>
  <si>
    <t>Newlands (LIVIA)</t>
  </si>
  <si>
    <t>Investment in the Highways</t>
  </si>
  <si>
    <t>Surplus Place Removal Radclyffe/St Clements</t>
  </si>
  <si>
    <t>NDS Condition/Modernisation</t>
  </si>
  <si>
    <t>Capitalised salaries</t>
  </si>
  <si>
    <t>Devolved Formual Capital</t>
  </si>
  <si>
    <t>Beacon Resource Centre</t>
  </si>
  <si>
    <t>PFI 2</t>
  </si>
  <si>
    <t>Specialist colleges</t>
  </si>
  <si>
    <t>Education SB adjustment</t>
  </si>
  <si>
    <t>Education contribution to cap'n of revenue</t>
  </si>
  <si>
    <t>C00060 and D07008</t>
  </si>
  <si>
    <t>A30003</t>
  </si>
  <si>
    <t>A00009</t>
  </si>
  <si>
    <t>Langwothy / Seedley</t>
  </si>
  <si>
    <t>Advance Fees</t>
  </si>
  <si>
    <t>Actual spend</t>
  </si>
  <si>
    <t xml:space="preserve">HOUSING TOTAL </t>
  </si>
  <si>
    <t>St Ambrose Barlow</t>
  </si>
  <si>
    <t xml:space="preserve">SURPLUS/(SHORTFALL) IN CAPITAL RECEIPTS </t>
  </si>
  <si>
    <t>RECEIPTS BROUGHT FORWARD</t>
  </si>
  <si>
    <t>SCE (R)</t>
  </si>
  <si>
    <t>Single capital pot</t>
  </si>
  <si>
    <t>St Patricks</t>
  </si>
  <si>
    <t>D07230-d07259</t>
  </si>
  <si>
    <t>D07200-d07229</t>
  </si>
  <si>
    <t>on sap d99999 7027</t>
  </si>
  <si>
    <t>Page 8</t>
  </si>
  <si>
    <t>Page 10</t>
  </si>
  <si>
    <t>Page 2</t>
  </si>
  <si>
    <t>Page 3</t>
  </si>
  <si>
    <t>Page 4</t>
  </si>
  <si>
    <t>Page 5</t>
  </si>
  <si>
    <t>Page 6</t>
  </si>
  <si>
    <t>e04696-e04705</t>
  </si>
  <si>
    <t>e00515</t>
  </si>
  <si>
    <t>Station Road</t>
  </si>
  <si>
    <t>S05007</t>
  </si>
  <si>
    <t>Page 7</t>
  </si>
  <si>
    <t>Page 9</t>
  </si>
  <si>
    <t>D99999 7015 contains  , 0.250 highways improvement less overprogramming of 0.115</t>
  </si>
  <si>
    <t>D00050</t>
  </si>
  <si>
    <t>General Fund - Properties and Land</t>
  </si>
  <si>
    <t xml:space="preserve">       CAPITAL</t>
  </si>
  <si>
    <t xml:space="preserve">   USABLE</t>
  </si>
  <si>
    <t xml:space="preserve">       RECEIPT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</si>
  <si>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</si>
  <si>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</si>
  <si>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</si>
  <si>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</si>
  <si>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</si>
  <si>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TOTAL COMPLETED</t>
  </si>
  <si>
    <t>APPROVED DISPOSALS</t>
  </si>
  <si>
    <t>TOTAL ESTIMATED DISPOSALS</t>
  </si>
  <si>
    <t>TOTAL ESTIMATED RECEIPTS</t>
  </si>
  <si>
    <t>HIGHWAYS</t>
  </si>
  <si>
    <t>ARTS &amp; LEISURE</t>
  </si>
  <si>
    <t>ERDF</t>
  </si>
  <si>
    <t>£m</t>
  </si>
  <si>
    <t>%</t>
  </si>
  <si>
    <t>Prop'n</t>
  </si>
  <si>
    <t>Total</t>
  </si>
  <si>
    <t>Housing Land</t>
  </si>
  <si>
    <t>Scheme Details</t>
  </si>
  <si>
    <t>Costs</t>
  </si>
  <si>
    <t>Source of</t>
  </si>
  <si>
    <t>Funding</t>
  </si>
  <si>
    <t>Onwards</t>
  </si>
  <si>
    <t>Contract</t>
  </si>
  <si>
    <t>Start</t>
  </si>
  <si>
    <t>Finish</t>
  </si>
  <si>
    <t>The Albion</t>
  </si>
  <si>
    <t>Schools Access Initiative</t>
  </si>
  <si>
    <t>Local Safety schemes</t>
  </si>
  <si>
    <t>Principal Roads Structural Maintenance</t>
  </si>
  <si>
    <t xml:space="preserve">Bridge Assessment and Strengthening Schemes </t>
  </si>
  <si>
    <t>Other Minor Schemes</t>
  </si>
  <si>
    <t>HIGHWAYS - TOTAL</t>
  </si>
  <si>
    <t>ARTS &amp; LEISURE - TOTAL</t>
  </si>
  <si>
    <t>ENVIRONMENTAL SERVICES</t>
  </si>
  <si>
    <t>TOTAL</t>
  </si>
  <si>
    <t>Housing Land &amp; Property</t>
  </si>
  <si>
    <t>Highway Services Depot Overhead</t>
  </si>
  <si>
    <t>Wentworth High School</t>
  </si>
  <si>
    <t xml:space="preserve">Public Transport Schemes </t>
  </si>
  <si>
    <t>Schemes to Assist Cycling</t>
  </si>
  <si>
    <t>Buille Hill Park Restoration</t>
  </si>
  <si>
    <t>Gateway</t>
  </si>
  <si>
    <t>Minor Works Fund</t>
  </si>
  <si>
    <t>Less - Costs to be set against capital receipts</t>
  </si>
  <si>
    <t>Cadishead Way Stage 2</t>
  </si>
  <si>
    <t>NWDA</t>
  </si>
  <si>
    <t>RCCO</t>
  </si>
  <si>
    <t>CAPITAL RECEIPTS</t>
  </si>
  <si>
    <t>GRANT</t>
  </si>
  <si>
    <t>OTHER</t>
  </si>
  <si>
    <t>TSG</t>
  </si>
  <si>
    <t>DFG</t>
  </si>
  <si>
    <t>SRB</t>
  </si>
  <si>
    <t>NDC</t>
  </si>
  <si>
    <t>Lottery</t>
  </si>
  <si>
    <t>HMRF</t>
  </si>
  <si>
    <t>Other</t>
  </si>
  <si>
    <t>Notes</t>
  </si>
  <si>
    <t>NDS</t>
  </si>
  <si>
    <t>DFC</t>
  </si>
  <si>
    <t>SEED</t>
  </si>
  <si>
    <t>STANDARDS FUND</t>
  </si>
  <si>
    <t>Home Office</t>
  </si>
  <si>
    <t>Surestart</t>
  </si>
  <si>
    <t>Primary Review</t>
  </si>
  <si>
    <t>2005/06</t>
  </si>
  <si>
    <t>Manchester/Salford Inner Relief Route</t>
  </si>
  <si>
    <t>Parks Infrastructure Improvements</t>
  </si>
  <si>
    <t>ENVIRONMENTAL SERVICES - TOTAL</t>
  </si>
  <si>
    <t>Cleavley Athletic Track</t>
  </si>
  <si>
    <t xml:space="preserve">CHIEF EXECUTIVE </t>
  </si>
  <si>
    <t>CHIEF EXECUTIVE - TOTAL</t>
  </si>
  <si>
    <t>EP</t>
  </si>
  <si>
    <t>lift enabling fund</t>
  </si>
  <si>
    <t>NHS LIFT - Walkden</t>
  </si>
  <si>
    <t>programme including unfunded from 03/04</t>
  </si>
  <si>
    <t>summary</t>
  </si>
  <si>
    <t>PROGRAMME TOTAL</t>
  </si>
  <si>
    <t>empty c00060</t>
  </si>
  <si>
    <t>Moorfield House</t>
  </si>
  <si>
    <t>e04751</t>
  </si>
  <si>
    <t>e04750</t>
  </si>
  <si>
    <t>e04756</t>
  </si>
  <si>
    <t>e04757</t>
  </si>
  <si>
    <t>e04758</t>
  </si>
  <si>
    <t>e04760</t>
  </si>
  <si>
    <t>e04761</t>
  </si>
  <si>
    <t>c00068</t>
  </si>
  <si>
    <t>S04004</t>
  </si>
  <si>
    <t>S04007</t>
  </si>
  <si>
    <t>Mental Health - S C E (2005/2006)</t>
  </si>
  <si>
    <t>Mental Health - S C E (2002/2004)</t>
  </si>
  <si>
    <t>Profiled spend</t>
  </si>
  <si>
    <t>RING FENCED</t>
  </si>
  <si>
    <t xml:space="preserve">SAP </t>
  </si>
  <si>
    <t>REF</t>
  </si>
  <si>
    <t>D00004</t>
  </si>
  <si>
    <t>D00005</t>
  </si>
  <si>
    <t>Lightoaks Park</t>
  </si>
  <si>
    <t>Data Centre</t>
  </si>
  <si>
    <t>Replacement Council Tax system</t>
  </si>
  <si>
    <t>e governmnent grant 05/06</t>
  </si>
  <si>
    <t>disp starts here</t>
  </si>
  <si>
    <t>0.017 cont from SCL</t>
  </si>
  <si>
    <t>0.030 cont from SCL</t>
  </si>
  <si>
    <t>EFFECT OF 04/05 OUTTURN</t>
  </si>
  <si>
    <t>C00069</t>
  </si>
  <si>
    <t>Upgrading IT training rooms</t>
  </si>
  <si>
    <t>Waste Performance Efficiency Grant</t>
  </si>
  <si>
    <t>Wheeled Bins</t>
  </si>
  <si>
    <t>St Simon St</t>
  </si>
  <si>
    <t>Willowbank/Mere drive Site, Clifton.</t>
  </si>
  <si>
    <t>Land at Lane End</t>
  </si>
  <si>
    <t>Land at Ravenscraig Road</t>
  </si>
  <si>
    <t>Eccles Youth Centre</t>
  </si>
  <si>
    <t>.118 office moves budget</t>
  </si>
  <si>
    <t>Central Salford</t>
  </si>
  <si>
    <t>Expanding Boundaries</t>
  </si>
  <si>
    <t>Recycling Bring Sites</t>
  </si>
  <si>
    <t xml:space="preserve"> 05/06 PROGRAMME TOTAL</t>
  </si>
  <si>
    <t>NET ESTIMATED RECEIPTS 05/06</t>
  </si>
  <si>
    <t>ESTIMATED RECEIPTS FOR 2005/06</t>
  </si>
  <si>
    <t>RECEIPTS REQUIRED FOR 2005/06 CAPITAL PROGRAMME</t>
  </si>
  <si>
    <t>CUSTOMER AND SUPPORT SERVICES</t>
  </si>
  <si>
    <t>CUSTOMER AND SUPPORT SERVICES - TOTAL</t>
  </si>
  <si>
    <t>PLANNING SERVICES</t>
  </si>
  <si>
    <t>PLANNING SERVICES - TOTAL</t>
  </si>
  <si>
    <t>Liverpool Road Eccles</t>
  </si>
  <si>
    <t>NDS 4</t>
  </si>
  <si>
    <t>adult education grant</t>
  </si>
  <si>
    <t>surestart</t>
  </si>
  <si>
    <t>Class size reduction</t>
  </si>
  <si>
    <t>0.012 school contribution</t>
  </si>
  <si>
    <t>E05013</t>
  </si>
  <si>
    <t>Irlam</t>
  </si>
  <si>
    <t>ACG minor works</t>
  </si>
  <si>
    <t>VA minor works</t>
  </si>
  <si>
    <t>NHS contribution</t>
  </si>
  <si>
    <t>Efficiency Improvements</t>
  </si>
  <si>
    <t>LIVIA</t>
  </si>
  <si>
    <t>NWDA Tatton Park</t>
  </si>
  <si>
    <t>Eccles Town hall auditorium</t>
  </si>
  <si>
    <t>Countryside Programme</t>
  </si>
  <si>
    <t>Barton SES</t>
  </si>
  <si>
    <t>conserving and developing Ordsall Hall</t>
  </si>
  <si>
    <t>Quays Maintenance Office Move</t>
  </si>
  <si>
    <t>Footpath works</t>
  </si>
  <si>
    <t>relocation Tourist Inofrmation Centre</t>
  </si>
  <si>
    <t>16m MRA, 0.300m extra care housing slipped at outturn</t>
  </si>
  <si>
    <t>carryforward cont to salford central</t>
  </si>
  <si>
    <t>Highways depot</t>
  </si>
  <si>
    <t>on revenue journalled at year end</t>
  </si>
  <si>
    <t>Hope Library</t>
  </si>
  <si>
    <t>Ordsall Recreation Centre</t>
  </si>
  <si>
    <t>Winton Community  Library</t>
  </si>
  <si>
    <t>section 106</t>
  </si>
  <si>
    <t>CEP grant</t>
  </si>
  <si>
    <t>child service grant</t>
  </si>
  <si>
    <t xml:space="preserve">Charlestown primary </t>
  </si>
  <si>
    <t>x</t>
  </si>
  <si>
    <t>0506</t>
  </si>
  <si>
    <t>04/05</t>
  </si>
  <si>
    <t>03/04</t>
  </si>
  <si>
    <t>02/03</t>
  </si>
  <si>
    <t>School Contributions</t>
  </si>
  <si>
    <t>Insurance Clifton Primary / Broadwalk</t>
  </si>
  <si>
    <t xml:space="preserve">Dept of Health Barton Moss Expansion </t>
  </si>
  <si>
    <t>Sure Start (Winton linrary)</t>
  </si>
  <si>
    <t>Beesley Green NOF</t>
  </si>
  <si>
    <t xml:space="preserve">shaded area is 534 timing difference in </t>
  </si>
  <si>
    <t>NOF/PE Sports</t>
  </si>
  <si>
    <t>resources due</t>
  </si>
  <si>
    <t>SPACE</t>
  </si>
  <si>
    <t>Central salford</t>
  </si>
  <si>
    <t>Chapel Wharf</t>
  </si>
  <si>
    <t>Fire insurance Moorside CP fire damage claim not finalised</t>
  </si>
  <si>
    <t>RCCO due E00037, from budget on D(or E??)6110 agreed with Dave mac to correct in new year</t>
  </si>
  <si>
    <t xml:space="preserve">Winton Community Library RCCO from dev services </t>
  </si>
  <si>
    <t>Finacc 04 timing differences</t>
  </si>
  <si>
    <t>-</t>
  </si>
  <si>
    <t>ICT in Schools</t>
  </si>
  <si>
    <t>Bradshaw st</t>
  </si>
  <si>
    <t>Frederick Road/Camp Street</t>
  </si>
  <si>
    <t>D07026</t>
  </si>
  <si>
    <t>School Travel Plans</t>
  </si>
  <si>
    <t>0.023 citywide contribution</t>
  </si>
  <si>
    <t>Mar 08</t>
  </si>
  <si>
    <t>Block 3 overprogramming less cfwd receipts</t>
  </si>
  <si>
    <t>Higher Broughton Community Hub **</t>
  </si>
  <si>
    <t>Former Police Station, Stanwell Road **</t>
  </si>
  <si>
    <t>profiled spend received</t>
  </si>
  <si>
    <t>Demolition Newcroft High School</t>
  </si>
  <si>
    <t>C00059 7027</t>
  </si>
  <si>
    <t>C00064</t>
  </si>
  <si>
    <t>C00067</t>
  </si>
  <si>
    <t>Corporate Office Moves Plan</t>
  </si>
  <si>
    <t>Desktop implementation team A Partington</t>
  </si>
  <si>
    <t>Auditorium Turnpike House</t>
  </si>
  <si>
    <t>D07018</t>
  </si>
  <si>
    <t>Summary</t>
  </si>
  <si>
    <t>Chesnut Ave Depot</t>
  </si>
  <si>
    <t>F00021</t>
  </si>
  <si>
    <t>f00034</t>
  </si>
  <si>
    <t>Hancocks Tip Site Investigation</t>
  </si>
  <si>
    <t>e02027</t>
  </si>
  <si>
    <t>e01008</t>
  </si>
  <si>
    <t>e00510</t>
  </si>
  <si>
    <t>e04851</t>
  </si>
  <si>
    <t>D01958</t>
  </si>
  <si>
    <t>D03600</t>
  </si>
  <si>
    <t>D06071</t>
  </si>
  <si>
    <t>D06117</t>
  </si>
  <si>
    <t xml:space="preserve">Salford Shopping City </t>
  </si>
  <si>
    <t>D06121</t>
  </si>
  <si>
    <t>Land at Sovereign Street</t>
  </si>
  <si>
    <t>D08006</t>
  </si>
  <si>
    <t>D08018 D08053</t>
  </si>
  <si>
    <t>7 Ashley Drive</t>
  </si>
  <si>
    <t>Adelphi Project stretch</t>
  </si>
  <si>
    <t>Higher Broughton Regeneration</t>
  </si>
  <si>
    <t>Swinton Design plans</t>
  </si>
  <si>
    <t>Oakwood section 106</t>
  </si>
  <si>
    <t>LIFT project</t>
  </si>
  <si>
    <t>Seedley School</t>
  </si>
  <si>
    <t>Ordsall Primary School</t>
  </si>
  <si>
    <t>Walkden pool refurbishment</t>
  </si>
  <si>
    <t>Primary School Review</t>
  </si>
  <si>
    <t>Lower Broughton Regeneration</t>
  </si>
  <si>
    <t>Chapel St Pedestrianisation</t>
  </si>
  <si>
    <t>Ordsall Development Framework</t>
  </si>
  <si>
    <t>ROLLING PROGRAMMES</t>
  </si>
  <si>
    <t>Relocation of customer services contact centre</t>
  </si>
  <si>
    <t>2.8m purchase and receipt not shown on programme or receipts forecast</t>
  </si>
  <si>
    <t>Improvements to the highway network</t>
  </si>
  <si>
    <t>.012 section 106 lima public house return for trinity park from 04/05 outturn</t>
  </si>
  <si>
    <t>Mandley Park</t>
  </si>
  <si>
    <t>S05113</t>
  </si>
  <si>
    <t>Homes to Trust</t>
  </si>
  <si>
    <t>S01003</t>
  </si>
  <si>
    <t>Sutherland House Refurbishment</t>
  </si>
  <si>
    <t>S06152</t>
  </si>
  <si>
    <t>Craig Hall Re-roofing</t>
  </si>
  <si>
    <t>S05112</t>
  </si>
  <si>
    <t>Day Services Modernisation</t>
  </si>
  <si>
    <t>S05151</t>
  </si>
  <si>
    <t>Capital Programme 2005/06</t>
  </si>
  <si>
    <t>Resources 2005/06</t>
  </si>
  <si>
    <t>Modernising Intermediate Care</t>
  </si>
  <si>
    <t>Purchase of Meadow Road Campus</t>
  </si>
  <si>
    <t>Purchase of Hulme St Nursery</t>
  </si>
  <si>
    <t>Red City Developments</t>
  </si>
  <si>
    <t>Underprogramming **</t>
  </si>
  <si>
    <t>F00033</t>
  </si>
  <si>
    <t>Princes Park Tennis Court</t>
  </si>
  <si>
    <t>F10001</t>
  </si>
  <si>
    <t>Parr Fold Pavillion</t>
  </si>
  <si>
    <t>F00010</t>
  </si>
  <si>
    <t>Lightoaks Park NOF</t>
  </si>
  <si>
    <t>Albert Park</t>
  </si>
  <si>
    <t>Beechfarm Lottery</t>
  </si>
  <si>
    <t xml:space="preserve">Princes Park </t>
  </si>
  <si>
    <t>F00017</t>
  </si>
  <si>
    <t>Croal Irwell  Access/Fencing section 106</t>
  </si>
  <si>
    <t>Sharp Street, Walkden section 106</t>
  </si>
  <si>
    <t>Peel Park section 106</t>
  </si>
  <si>
    <t>F00004</t>
  </si>
  <si>
    <t>Cemetery Roadways</t>
  </si>
  <si>
    <t>Cemetery Headstones</t>
  </si>
  <si>
    <t>F00024</t>
  </si>
  <si>
    <t>E00017</t>
  </si>
  <si>
    <t>E00514</t>
  </si>
  <si>
    <t>E04852-3</t>
  </si>
  <si>
    <t>SCE Crofters Heights</t>
  </si>
  <si>
    <t>F000</t>
  </si>
  <si>
    <t>F00035</t>
  </si>
  <si>
    <t>0.064 srb, 0.1 NRF,</t>
  </si>
  <si>
    <t>S05052</t>
  </si>
  <si>
    <t>Barton Moss Expansion</t>
  </si>
  <si>
    <t>E05703</t>
  </si>
  <si>
    <t>w00001</t>
  </si>
  <si>
    <t>e05030</t>
  </si>
  <si>
    <t>e05031</t>
  </si>
  <si>
    <t>e05033</t>
  </si>
  <si>
    <t>e05037</t>
  </si>
  <si>
    <t>E05032</t>
  </si>
  <si>
    <t>Roller Hockey Relocation</t>
  </si>
  <si>
    <t>E05041</t>
  </si>
  <si>
    <t>adjusted via control 04/05</t>
  </si>
  <si>
    <t>partially adjusted via control 04/05</t>
  </si>
  <si>
    <t>Land adjacent to Hope Hospital</t>
  </si>
  <si>
    <t>Community Centre Kenyon Way</t>
  </si>
  <si>
    <t>St Johns playing field, Walkden</t>
  </si>
  <si>
    <t>Sale of Shares Modesole</t>
  </si>
  <si>
    <t>Legendary Properties</t>
  </si>
  <si>
    <t>Dealing with the Disadvantaged DoT Neighbourhood Road Safety Initiative grant</t>
  </si>
  <si>
    <t>.005 e&amp;L rcco, 0.004 arts and leisure RCCO, see sept mon depts</t>
  </si>
  <si>
    <t>F00025</t>
  </si>
  <si>
    <t>F00011</t>
  </si>
  <si>
    <t>F00013</t>
  </si>
  <si>
    <t>Langworthy Area - Traffic Calming Scheme</t>
  </si>
  <si>
    <t>chapel st receipts slipped from 0405</t>
  </si>
  <si>
    <t>November</t>
  </si>
  <si>
    <t>D06129</t>
  </si>
  <si>
    <t>Demolition of police station stanwell road</t>
  </si>
  <si>
    <t>D07020</t>
  </si>
  <si>
    <t>D02151</t>
  </si>
  <si>
    <t>D07016</t>
  </si>
  <si>
    <t>D01425&amp;D01450</t>
  </si>
  <si>
    <t>D03501</t>
  </si>
  <si>
    <t>D03502</t>
  </si>
  <si>
    <t>D03503</t>
  </si>
  <si>
    <t>Physical Design Strategy</t>
  </si>
  <si>
    <t>D03505</t>
  </si>
  <si>
    <t>D03506</t>
  </si>
  <si>
    <t>D06108</t>
  </si>
  <si>
    <t>Demolition Windsor School</t>
  </si>
  <si>
    <t>D07013</t>
  </si>
  <si>
    <t>D07260-D07299</t>
  </si>
  <si>
    <t>D07401</t>
  </si>
  <si>
    <t>D07400</t>
  </si>
  <si>
    <t>D08044</t>
  </si>
  <si>
    <t>COMMUNITY, HEALTH AND SOCIAL CARE -TOTAL</t>
  </si>
  <si>
    <t>COMMUNITY, HEALTH AND SOCIAL CARE</t>
  </si>
  <si>
    <t>0.122 football foundation</t>
  </si>
  <si>
    <t>.016 salford shopping city, 0.016 tescos, 0.008 GMPTE</t>
  </si>
  <si>
    <t>0.138 insurance money</t>
  </si>
  <si>
    <t>0.016 bmx bandits community contribution</t>
  </si>
  <si>
    <t>Call Centre Relocation- building works</t>
  </si>
  <si>
    <t>Robin Hood sidings</t>
  </si>
  <si>
    <t>0.017 eccles rec section 106</t>
  </si>
  <si>
    <t>0.024 section 106, 0.004 parks grounds maintenance budget</t>
  </si>
  <si>
    <t>St Marys Park Playground</t>
  </si>
  <si>
    <t>F00031</t>
  </si>
  <si>
    <t>0.113 section 106 George Wimpey, restawhile at oakham trading estate</t>
  </si>
  <si>
    <t>D07024 and D08064</t>
  </si>
  <si>
    <t>D07027</t>
  </si>
  <si>
    <t>Civic Centre Reception Refurbishment</t>
  </si>
  <si>
    <t>d08069</t>
  </si>
  <si>
    <t>barton moss rcco, DFES secure accomodation</t>
  </si>
  <si>
    <t xml:space="preserve">Disabled Access Improvements </t>
  </si>
  <si>
    <t>chapel st receipts section 106</t>
  </si>
  <si>
    <t>River Irwell Walkway</t>
  </si>
  <si>
    <t>Eccles Recreation Grd</t>
  </si>
  <si>
    <t>F00030</t>
  </si>
  <si>
    <t>f20001</t>
  </si>
  <si>
    <t>d06053-d06071</t>
  </si>
  <si>
    <t xml:space="preserve">Oakwood Section 106 </t>
  </si>
  <si>
    <t>D07028</t>
  </si>
  <si>
    <t>Trinity Park</t>
  </si>
  <si>
    <t>E05038</t>
  </si>
  <si>
    <t xml:space="preserve">0.013 scl contribution, </t>
  </si>
  <si>
    <t>0.006 scl contribution</t>
  </si>
  <si>
    <t>Porfolio manager</t>
  </si>
  <si>
    <t>CSD Officers</t>
  </si>
  <si>
    <t>Members IT equipment</t>
  </si>
  <si>
    <t>deposit received October</t>
  </si>
  <si>
    <t>Guide St Salford</t>
  </si>
  <si>
    <t>C00062</t>
  </si>
  <si>
    <t>e02031</t>
  </si>
  <si>
    <t>e00037</t>
  </si>
  <si>
    <t>e00018</t>
  </si>
  <si>
    <t>e02005</t>
  </si>
  <si>
    <t>e04611</t>
  </si>
  <si>
    <t>e03134</t>
  </si>
  <si>
    <t>e04006</t>
  </si>
  <si>
    <t>Greenbank trust .092, peel investments 0.098, bridgewater fc 0.019, football foundation 0.266</t>
  </si>
  <si>
    <t>D01901 A30001</t>
  </si>
  <si>
    <t>S05006</t>
  </si>
  <si>
    <t>The Grange - Playroom</t>
  </si>
  <si>
    <t>S06102</t>
  </si>
  <si>
    <t>St Georges - Kitchen</t>
  </si>
  <si>
    <t>E05042</t>
  </si>
  <si>
    <t>Leisure CCTV</t>
  </si>
  <si>
    <t>A40112</t>
  </si>
  <si>
    <t>A20050</t>
  </si>
  <si>
    <t>BBC Consultants</t>
  </si>
  <si>
    <t>A6 works for URC</t>
  </si>
  <si>
    <t>e02004 E02032</t>
  </si>
  <si>
    <t>Barton Moss Childrens Centre</t>
  </si>
  <si>
    <t>Eccles Recreation centre fitness equipment</t>
  </si>
  <si>
    <t>d08046</t>
  </si>
  <si>
    <t>Higher Broughton Schools</t>
  </si>
  <si>
    <t>Newlands initiative</t>
  </si>
  <si>
    <t>City Academy - Verdant Lane Survey</t>
  </si>
  <si>
    <t>Higher Broughton Communtiy Hub</t>
  </si>
  <si>
    <t>Land Exchange SCC +UoS Ground Investigation</t>
  </si>
  <si>
    <t>D06115</t>
  </si>
  <si>
    <t>Lowry High School Salford 7</t>
  </si>
  <si>
    <t>Private sector housing land at elton st £0.690m Unsupported borrowing or capital receipts, if private sector housing underspends may be able to fund it within existing resource</t>
  </si>
  <si>
    <t>Private sector housing premises at Great Clowes St £0.300m Unsupported borrowing or capital receipts, if private sector housing underspends may be able to fund it within existing resource</t>
  </si>
  <si>
    <t>Software Development</t>
  </si>
  <si>
    <t>Relocation of Soc servs to Emerson House</t>
  </si>
  <si>
    <t>Lledr Hall and additional building works</t>
  </si>
  <si>
    <t>30k contribution from Tesco as part of Section 278 agreement D00939 other half of scheme funded from block 3, 40k sustrans contribution D00808</t>
  </si>
  <si>
    <t>S04005</t>
  </si>
  <si>
    <t>Mental Health - S C E (2003)</t>
  </si>
  <si>
    <t>S02501</t>
  </si>
  <si>
    <t>Emerson House</t>
  </si>
  <si>
    <t>Purchase of Church St Eccles</t>
  </si>
  <si>
    <t>29th March</t>
  </si>
  <si>
    <t>General Fund - Properties and Land*</t>
  </si>
  <si>
    <t>LSC grant neighbourhod learning in deprived communities</t>
  </si>
  <si>
    <t>Neighbourhod learning in deprived communities</t>
  </si>
  <si>
    <t>to be an operating lease, will be removed from capital at year end</t>
  </si>
  <si>
    <t>MYSAP</t>
  </si>
  <si>
    <t>Enterprise XP</t>
  </si>
  <si>
    <t>Urban Vision Move to Emerson House</t>
  </si>
  <si>
    <t>Housing and Planning from Crompton</t>
  </si>
  <si>
    <t>Job Evaluation team and others</t>
  </si>
  <si>
    <t>Legal Accomodation refurbishments</t>
  </si>
  <si>
    <t>Corporate Strategy and Marketing</t>
  </si>
  <si>
    <t>E05044</t>
  </si>
  <si>
    <t>E05016</t>
  </si>
  <si>
    <t>Jewish Orthodox Schools</t>
  </si>
  <si>
    <t>Gym Equipment</t>
  </si>
  <si>
    <t>LPSA grant</t>
  </si>
  <si>
    <t>E05028</t>
  </si>
  <si>
    <t>Leisure Management Information System</t>
  </si>
  <si>
    <t>Resources and overprogramming</t>
  </si>
  <si>
    <t xml:space="preserve">greening greater manchester grant, 0.003 boundary road irlam s106 use as capital receipts this year, </t>
  </si>
  <si>
    <t xml:space="preserve">0.011 boundary road irlam s106 use as capital receipts this year, </t>
  </si>
  <si>
    <t>e02033</t>
  </si>
  <si>
    <t>e04762</t>
  </si>
  <si>
    <t>e04763</t>
  </si>
  <si>
    <t>Playgroup conversion</t>
  </si>
  <si>
    <t>Adelphi St</t>
  </si>
  <si>
    <t>Decontamination Adelphi St</t>
  </si>
  <si>
    <t>Decontamination Irwell Valley</t>
  </si>
  <si>
    <t>Land Swop</t>
  </si>
  <si>
    <t>*includes £3.242m (gross) receipt for land swop with the university</t>
  </si>
  <si>
    <t>Out fo School Childcare</t>
  </si>
  <si>
    <t>S05111</t>
  </si>
  <si>
    <t>White Meadows - Secure garden</t>
  </si>
  <si>
    <t>S06055</t>
  </si>
  <si>
    <t>Brierley House - Heating system</t>
  </si>
  <si>
    <t>S09014</t>
  </si>
  <si>
    <t xml:space="preserve">Guild Hall - repointing </t>
  </si>
  <si>
    <t>S08062</t>
  </si>
  <si>
    <t xml:space="preserve">Crompton House - Disabled access </t>
  </si>
  <si>
    <t>S09015</t>
  </si>
  <si>
    <t>Irlam Community Centre - Security fencing</t>
  </si>
  <si>
    <t>S09016</t>
  </si>
  <si>
    <t>Westwood Community Centre - Roof repairs</t>
  </si>
  <si>
    <t>White Meadows-</t>
  </si>
  <si>
    <t>S06103</t>
  </si>
  <si>
    <t>St Georges - remodel</t>
  </si>
  <si>
    <t>S08151</t>
  </si>
  <si>
    <t>relocation of cultural services</t>
  </si>
  <si>
    <t>.020 childrens aid</t>
  </si>
  <si>
    <t>S06158</t>
  </si>
  <si>
    <t>Craig Hall</t>
  </si>
  <si>
    <t>Fidlers Lane Community Primary School</t>
  </si>
  <si>
    <t>Driveway at Kersal Vale Allotments</t>
  </si>
  <si>
    <t>St Charles RC Primary School - Children's Centre</t>
  </si>
  <si>
    <t>NHS Lift Walkden</t>
  </si>
  <si>
    <t>Lift Enabling fund, capital receipts</t>
  </si>
  <si>
    <t>NHS Lift Eccles</t>
  </si>
  <si>
    <t>C00071</t>
  </si>
  <si>
    <t>NHS LIFT - Swinton</t>
  </si>
  <si>
    <t>D07029</t>
  </si>
  <si>
    <t>D07031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</si>
</sst>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\ ;\(0.000\)"/>
    <numFmt numFmtId="165" formatCode="0.000"/>
    <numFmt numFmtId="166" formatCode="0\ ;\(0\)"/>
    <numFmt numFmtId="167" formatCode="#,##0.000"/>
    <numFmt numFmtId="168" formatCode="0.0"/>
    <numFmt numFmtId="169" formatCode="0.0000"/>
    <numFmt numFmtId="170" formatCode="_-&quot;£&quot;* #,##0.000_-;\-&quot;£&quot;* #,##0.000_-;_-&quot;£&quot;* &quot;-&quot;??_-;_-@_-"/>
    <numFmt numFmtId="171" formatCode="0.00000"/>
    <numFmt numFmtId="172" formatCode="#,##0.00;\(#,##0.00\)"/>
    <numFmt numFmtId="173" formatCode="#,##0.000;\(#,##0.000\)"/>
    <numFmt numFmtId="174" formatCode="#,##0;\(#,##0\)"/>
    <numFmt numFmtId="175" formatCode="#,##0_);[Red]\(#,##0\)"/>
    <numFmt numFmtId="176" formatCode="#,##0\ ;\(#,##0\)"/>
    <numFmt numFmtId="177" formatCode="#,##0.00\ ;[Red]\(#,##0.00\)"/>
    <numFmt numFmtId="178" formatCode="#,##0.00;\(#,##0.000\)"/>
    <numFmt numFmtId="179" formatCode="&quot;£&quot;#,##0"/>
    <numFmt numFmtId="180" formatCode="#,##0.00;\(#,##0.0\)"/>
    <numFmt numFmtId="181" formatCode="#,##0.0;\(#,##0.0\)"/>
    <numFmt numFmtId="182" formatCode="#,##0_);\(#,##0\)"/>
    <numFmt numFmtId="183" formatCode="0_)"/>
    <numFmt numFmtId="184" formatCode="#,##0.00_-;#,##0.00\-;&quot;&quot;"/>
    <numFmt numFmtId="185" formatCode="#,##0.0_-;#,##0.0\-;&quot;&quot;"/>
    <numFmt numFmtId="186" formatCode="#,##0.000_-;#,##0.000\-;&quot;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_-;\-* #,##0.0_-;_-* &quot;-&quot;??_-;_-@_-"/>
    <numFmt numFmtId="191" formatCode="_-* #,##0.000_-;\-* #,##0.000_-;_-* &quot;-&quot;??_-;_-@_-"/>
    <numFmt numFmtId="192" formatCode="#,##0.0"/>
    <numFmt numFmtId="193" formatCode="#,##0.00_ ;\-#,##0.00\ "/>
    <numFmt numFmtId="194" formatCode="0.0000000"/>
    <numFmt numFmtId="195" formatCode="0.000000"/>
    <numFmt numFmtId="196" formatCode="_-&quot;£&quot;* #,##0.0_-;\-&quot;£&quot;* #,##0.0_-;_-&quot;£&quot;* &quot;-&quot;??_-;_-@_-"/>
    <numFmt numFmtId="197" formatCode="#,##0.000\ ;[Red]\(#,##0.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5" fontId="0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165" fontId="7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1" fillId="2" borderId="7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65" fontId="1" fillId="2" borderId="8" xfId="0" applyNumberFormat="1" applyFont="1" applyFill="1" applyBorder="1" applyAlignment="1">
      <alignment/>
    </xf>
    <xf numFmtId="165" fontId="1" fillId="2" borderId="7" xfId="0" applyNumberFormat="1" applyFont="1" applyFill="1" applyBorder="1" applyAlignment="1">
      <alignment horizontal="left"/>
    </xf>
    <xf numFmtId="165" fontId="1" fillId="2" borderId="9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/>
    </xf>
    <xf numFmtId="165" fontId="0" fillId="2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2" borderId="5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2" borderId="12" xfId="0" applyNumberFormat="1" applyFont="1" applyFill="1" applyBorder="1" applyAlignment="1">
      <alignment/>
    </xf>
    <xf numFmtId="165" fontId="0" fillId="2" borderId="9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1" fillId="2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165" fontId="1" fillId="2" borderId="1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 wrapText="1"/>
    </xf>
    <xf numFmtId="165" fontId="1" fillId="0" borderId="10" xfId="0" applyNumberFormat="1" applyFont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2" borderId="15" xfId="0" applyNumberFormat="1" applyFont="1" applyFill="1" applyBorder="1" applyAlignment="1">
      <alignment/>
    </xf>
    <xf numFmtId="165" fontId="0" fillId="2" borderId="16" xfId="0" applyNumberFormat="1" applyFont="1" applyFill="1" applyBorder="1" applyAlignment="1">
      <alignment/>
    </xf>
    <xf numFmtId="165" fontId="1" fillId="2" borderId="16" xfId="0" applyNumberFormat="1" applyFont="1" applyFill="1" applyBorder="1" applyAlignment="1">
      <alignment/>
    </xf>
    <xf numFmtId="165" fontId="0" fillId="2" borderId="17" xfId="0" applyNumberFormat="1" applyFon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Continuous"/>
    </xf>
    <xf numFmtId="0" fontId="11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1" fillId="2" borderId="19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1" fillId="2" borderId="19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center"/>
    </xf>
    <xf numFmtId="1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wrapText="1"/>
    </xf>
    <xf numFmtId="1" fontId="0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" fillId="2" borderId="21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16" xfId="0" applyNumberFormat="1" applyFont="1" applyBorder="1" applyAlignment="1">
      <alignment/>
    </xf>
    <xf numFmtId="165" fontId="7" fillId="2" borderId="16" xfId="0" applyNumberFormat="1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0" fillId="2" borderId="14" xfId="0" applyNumberFormat="1" applyFont="1" applyFill="1" applyBorder="1" applyAlignment="1">
      <alignment/>
    </xf>
    <xf numFmtId="165" fontId="7" fillId="2" borderId="14" xfId="0" applyNumberFormat="1" applyFont="1" applyFill="1" applyBorder="1" applyAlignment="1">
      <alignment/>
    </xf>
    <xf numFmtId="165" fontId="1" fillId="2" borderId="17" xfId="0" applyNumberFormat="1" applyFont="1" applyFill="1" applyBorder="1" applyAlignment="1">
      <alignment/>
    </xf>
    <xf numFmtId="165" fontId="7" fillId="2" borderId="17" xfId="0" applyNumberFormat="1" applyFont="1" applyFill="1" applyBorder="1" applyAlignment="1">
      <alignment/>
    </xf>
    <xf numFmtId="165" fontId="7" fillId="2" borderId="8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/>
    </xf>
    <xf numFmtId="165" fontId="0" fillId="2" borderId="15" xfId="0" applyNumberFormat="1" applyFont="1" applyFill="1" applyBorder="1" applyAlignment="1">
      <alignment/>
    </xf>
    <xf numFmtId="165" fontId="1" fillId="0" borderId="9" xfId="0" applyNumberFormat="1" applyFont="1" applyBorder="1" applyAlignment="1">
      <alignment/>
    </xf>
    <xf numFmtId="165" fontId="2" fillId="2" borderId="3" xfId="0" applyNumberFormat="1" applyFont="1" applyFill="1" applyBorder="1" applyAlignment="1">
      <alignment/>
    </xf>
    <xf numFmtId="165" fontId="1" fillId="2" borderId="22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165" fontId="0" fillId="2" borderId="0" xfId="0" applyNumberFormat="1" applyFont="1" applyFill="1" applyAlignment="1">
      <alignment horizontal="right"/>
    </xf>
    <xf numFmtId="165" fontId="1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17" fontId="0" fillId="0" borderId="25" xfId="0" applyNumberFormat="1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165" fontId="1" fillId="2" borderId="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7" fontId="0" fillId="0" borderId="0" xfId="0" applyNumberFormat="1" applyFont="1" applyBorder="1" applyAlignment="1">
      <alignment/>
    </xf>
    <xf numFmtId="165" fontId="1" fillId="2" borderId="0" xfId="0" applyNumberFormat="1" applyFont="1" applyFill="1" applyBorder="1" applyAlignment="1">
      <alignment horizontal="left"/>
    </xf>
    <xf numFmtId="165" fontId="0" fillId="0" borderId="6" xfId="0" applyNumberFormat="1" applyFont="1" applyBorder="1" applyAlignment="1">
      <alignment/>
    </xf>
    <xf numFmtId="165" fontId="1" fillId="2" borderId="6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1" fillId="2" borderId="23" xfId="0" applyNumberFormat="1" applyFont="1" applyFill="1" applyBorder="1" applyAlignment="1">
      <alignment/>
    </xf>
    <xf numFmtId="165" fontId="0" fillId="0" borderId="26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1" fillId="2" borderId="28" xfId="0" applyNumberFormat="1" applyFont="1" applyFill="1" applyBorder="1" applyAlignment="1">
      <alignment/>
    </xf>
    <xf numFmtId="165" fontId="0" fillId="2" borderId="29" xfId="0" applyNumberFormat="1" applyFont="1" applyFill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1" fillId="2" borderId="31" xfId="0" applyNumberFormat="1" applyFont="1" applyFill="1" applyBorder="1" applyAlignment="1">
      <alignment/>
    </xf>
    <xf numFmtId="165" fontId="1" fillId="2" borderId="12" xfId="0" applyNumberFormat="1" applyFont="1" applyFill="1" applyBorder="1" applyAlignment="1">
      <alignment/>
    </xf>
    <xf numFmtId="165" fontId="1" fillId="2" borderId="32" xfId="0" applyNumberFormat="1" applyFont="1" applyFill="1" applyBorder="1" applyAlignment="1">
      <alignment/>
    </xf>
    <xf numFmtId="165" fontId="1" fillId="2" borderId="33" xfId="0" applyNumberFormat="1" applyFont="1" applyFill="1" applyBorder="1" applyAlignment="1">
      <alignment/>
    </xf>
    <xf numFmtId="165" fontId="1" fillId="2" borderId="29" xfId="0" applyNumberFormat="1" applyFont="1" applyFill="1" applyBorder="1" applyAlignment="1">
      <alignment/>
    </xf>
    <xf numFmtId="0" fontId="0" fillId="0" borderId="16" xfId="0" applyBorder="1" applyAlignment="1">
      <alignment/>
    </xf>
    <xf numFmtId="165" fontId="0" fillId="0" borderId="14" xfId="0" applyNumberFormat="1" applyBorder="1" applyAlignment="1">
      <alignment/>
    </xf>
    <xf numFmtId="17" fontId="1" fillId="2" borderId="23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/>
    </xf>
    <xf numFmtId="165" fontId="0" fillId="0" borderId="29" xfId="0" applyNumberFormat="1" applyFont="1" applyBorder="1" applyAlignment="1">
      <alignment/>
    </xf>
    <xf numFmtId="0" fontId="2" fillId="0" borderId="3" xfId="0" applyFont="1" applyBorder="1" applyAlignment="1">
      <alignment/>
    </xf>
    <xf numFmtId="167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167" fontId="0" fillId="0" borderId="5" xfId="0" applyNumberFormat="1" applyFont="1" applyBorder="1" applyAlignment="1">
      <alignment/>
    </xf>
    <xf numFmtId="0" fontId="0" fillId="0" borderId="23" xfId="0" applyFont="1" applyBorder="1" applyAlignment="1">
      <alignment/>
    </xf>
    <xf numFmtId="191" fontId="0" fillId="0" borderId="12" xfId="15" applyNumberFormat="1" applyFont="1" applyBorder="1" applyAlignment="1">
      <alignment/>
    </xf>
    <xf numFmtId="0" fontId="0" fillId="0" borderId="28" xfId="0" applyFont="1" applyBorder="1" applyAlignment="1">
      <alignment/>
    </xf>
    <xf numFmtId="17" fontId="0" fillId="2" borderId="0" xfId="0" applyNumberFormat="1" applyFont="1" applyFill="1" applyBorder="1" applyAlignment="1">
      <alignment horizontal="center"/>
    </xf>
    <xf numFmtId="17" fontId="1" fillId="2" borderId="6" xfId="0" applyNumberFormat="1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165" fontId="1" fillId="2" borderId="16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65" fontId="1" fillId="2" borderId="21" xfId="0" applyNumberFormat="1" applyFont="1" applyFill="1" applyBorder="1" applyAlignment="1">
      <alignment horizontal="right"/>
    </xf>
    <xf numFmtId="165" fontId="12" fillId="2" borderId="5" xfId="0" applyNumberFormat="1" applyFont="1" applyFill="1" applyBorder="1" applyAlignment="1">
      <alignment/>
    </xf>
    <xf numFmtId="165" fontId="12" fillId="2" borderId="16" xfId="0" applyNumberFormat="1" applyFont="1" applyFill="1" applyBorder="1" applyAlignment="1">
      <alignment/>
    </xf>
    <xf numFmtId="165" fontId="12" fillId="2" borderId="0" xfId="0" applyNumberFormat="1" applyFont="1" applyFill="1" applyBorder="1" applyAlignment="1">
      <alignment/>
    </xf>
    <xf numFmtId="165" fontId="0" fillId="0" borderId="16" xfId="0" applyNumberFormat="1" applyBorder="1" applyAlignment="1">
      <alignment/>
    </xf>
    <xf numFmtId="167" fontId="0" fillId="0" borderId="3" xfId="0" applyNumberFormat="1" applyFont="1" applyBorder="1" applyAlignment="1">
      <alignment horizontal="right"/>
    </xf>
    <xf numFmtId="167" fontId="0" fillId="0" borderId="1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5" fontId="0" fillId="2" borderId="5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7" fillId="2" borderId="10" xfId="0" applyNumberFormat="1" applyFont="1" applyFill="1" applyBorder="1" applyAlignment="1">
      <alignment/>
    </xf>
    <xf numFmtId="165" fontId="1" fillId="2" borderId="12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/>
    </xf>
    <xf numFmtId="165" fontId="1" fillId="2" borderId="35" xfId="0" applyNumberFormat="1" applyFont="1" applyFill="1" applyBorder="1" applyAlignment="1">
      <alignment/>
    </xf>
    <xf numFmtId="165" fontId="1" fillId="2" borderId="36" xfId="0" applyNumberFormat="1" applyFont="1" applyFill="1" applyBorder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2" borderId="37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/>
    </xf>
    <xf numFmtId="165" fontId="7" fillId="0" borderId="3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5" fontId="0" fillId="0" borderId="7" xfId="0" applyNumberFormat="1" applyFont="1" applyBorder="1" applyAlignment="1">
      <alignment/>
    </xf>
    <xf numFmtId="165" fontId="7" fillId="0" borderId="16" xfId="0" applyNumberFormat="1" applyFont="1" applyFill="1" applyBorder="1" applyAlignment="1">
      <alignment/>
    </xf>
    <xf numFmtId="167" fontId="0" fillId="0" borderId="38" xfId="0" applyNumberForma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165" fontId="1" fillId="2" borderId="10" xfId="0" applyNumberFormat="1" applyFont="1" applyFill="1" applyBorder="1" applyAlignment="1">
      <alignment/>
    </xf>
    <xf numFmtId="165" fontId="1" fillId="2" borderId="26" xfId="0" applyNumberFormat="1" applyFont="1" applyFill="1" applyBorder="1" applyAlignment="1">
      <alignment/>
    </xf>
    <xf numFmtId="165" fontId="1" fillId="2" borderId="30" xfId="0" applyNumberFormat="1" applyFont="1" applyFill="1" applyBorder="1" applyAlignment="1">
      <alignment/>
    </xf>
    <xf numFmtId="165" fontId="0" fillId="0" borderId="3" xfId="0" applyNumberFormat="1" applyBorder="1" applyAlignment="1">
      <alignment/>
    </xf>
    <xf numFmtId="165" fontId="1" fillId="0" borderId="7" xfId="0" applyNumberFormat="1" applyFont="1" applyBorder="1" applyAlignment="1">
      <alignment/>
    </xf>
    <xf numFmtId="165" fontId="0" fillId="0" borderId="36" xfId="0" applyNumberFormat="1" applyFont="1" applyBorder="1" applyAlignment="1">
      <alignment/>
    </xf>
    <xf numFmtId="0" fontId="0" fillId="0" borderId="38" xfId="0" applyFont="1" applyBorder="1" applyAlignment="1">
      <alignment/>
    </xf>
    <xf numFmtId="167" fontId="0" fillId="0" borderId="1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/>
    </xf>
    <xf numFmtId="165" fontId="0" fillId="2" borderId="7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0" fontId="2" fillId="0" borderId="3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4" xfId="0" applyFont="1" applyBorder="1" applyAlignment="1">
      <alignment/>
    </xf>
    <xf numFmtId="177" fontId="14" fillId="3" borderId="34" xfId="0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177" fontId="14" fillId="3" borderId="18" xfId="0" applyNumberFormat="1" applyFont="1" applyFill="1" applyBorder="1" applyAlignment="1">
      <alignment/>
    </xf>
    <xf numFmtId="0" fontId="14" fillId="3" borderId="34" xfId="0" applyFont="1" applyFill="1" applyBorder="1" applyAlignment="1">
      <alignment/>
    </xf>
    <xf numFmtId="0" fontId="14" fillId="3" borderId="18" xfId="0" applyFont="1" applyFill="1" applyBorder="1" applyAlignment="1">
      <alignment/>
    </xf>
    <xf numFmtId="43" fontId="14" fillId="3" borderId="34" xfId="15" applyFont="1" applyFill="1" applyBorder="1" applyAlignment="1">
      <alignment/>
    </xf>
    <xf numFmtId="0" fontId="14" fillId="0" borderId="3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25" xfId="0" applyFont="1" applyBorder="1" applyAlignment="1">
      <alignment/>
    </xf>
    <xf numFmtId="165" fontId="0" fillId="2" borderId="23" xfId="0" applyNumberFormat="1" applyFont="1" applyFill="1" applyBorder="1" applyAlignment="1">
      <alignment/>
    </xf>
    <xf numFmtId="165" fontId="0" fillId="2" borderId="41" xfId="0" applyNumberFormat="1" applyFont="1" applyFill="1" applyBorder="1" applyAlignment="1">
      <alignment/>
    </xf>
    <xf numFmtId="165" fontId="0" fillId="2" borderId="22" xfId="0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177" fontId="14" fillId="0" borderId="0" xfId="0" applyNumberFormat="1" applyFont="1" applyBorder="1" applyAlignment="1">
      <alignment/>
    </xf>
    <xf numFmtId="0" fontId="14" fillId="0" borderId="0" xfId="0" applyFont="1" applyBorder="1" applyAlignment="1" quotePrefix="1">
      <alignment/>
    </xf>
    <xf numFmtId="16" fontId="14" fillId="0" borderId="0" xfId="0" applyNumberFormat="1" applyFont="1" applyBorder="1" applyAlignment="1" quotePrefix="1">
      <alignment/>
    </xf>
    <xf numFmtId="0" fontId="13" fillId="0" borderId="16" xfId="0" applyFont="1" applyBorder="1" applyAlignment="1">
      <alignment/>
    </xf>
    <xf numFmtId="43" fontId="14" fillId="0" borderId="0" xfId="15" applyFont="1" applyBorder="1" applyAlignment="1">
      <alignment/>
    </xf>
    <xf numFmtId="0" fontId="13" fillId="0" borderId="0" xfId="0" applyFont="1" applyBorder="1" applyAlignment="1">
      <alignment/>
    </xf>
    <xf numFmtId="165" fontId="0" fillId="2" borderId="28" xfId="0" applyNumberFormat="1" applyFont="1" applyFill="1" applyBorder="1" applyAlignment="1">
      <alignment/>
    </xf>
    <xf numFmtId="165" fontId="0" fillId="2" borderId="42" xfId="0" applyNumberFormat="1" applyFont="1" applyFill="1" applyBorder="1" applyAlignment="1">
      <alignment/>
    </xf>
    <xf numFmtId="165" fontId="0" fillId="2" borderId="43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14" fontId="1" fillId="2" borderId="6" xfId="0" applyNumberFormat="1" applyFont="1" applyFill="1" applyBorder="1" applyAlignment="1">
      <alignment/>
    </xf>
    <xf numFmtId="14" fontId="1" fillId="2" borderId="2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65" fontId="1" fillId="2" borderId="0" xfId="17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/>
    </xf>
    <xf numFmtId="165" fontId="0" fillId="0" borderId="43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7" fontId="0" fillId="0" borderId="6" xfId="0" applyNumberFormat="1" applyFont="1" applyBorder="1" applyAlignment="1">
      <alignment horizontal="center"/>
    </xf>
    <xf numFmtId="17" fontId="1" fillId="2" borderId="28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17" fontId="0" fillId="2" borderId="16" xfId="0" applyNumberFormat="1" applyFont="1" applyFill="1" applyBorder="1" applyAlignment="1">
      <alignment horizontal="center"/>
    </xf>
    <xf numFmtId="17" fontId="0" fillId="2" borderId="22" xfId="0" applyNumberFormat="1" applyFont="1" applyFill="1" applyBorder="1" applyAlignment="1">
      <alignment horizontal="center"/>
    </xf>
    <xf numFmtId="17" fontId="0" fillId="2" borderId="14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 horizontal="center"/>
    </xf>
    <xf numFmtId="17" fontId="0" fillId="2" borderId="16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17" fontId="1" fillId="2" borderId="22" xfId="0" applyNumberFormat="1" applyFont="1" applyFill="1" applyBorder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17" fontId="1" fillId="2" borderId="15" xfId="0" applyNumberFormat="1" applyFont="1" applyFill="1" applyBorder="1" applyAlignment="1">
      <alignment horizontal="center"/>
    </xf>
    <xf numFmtId="17" fontId="7" fillId="2" borderId="16" xfId="0" applyNumberFormat="1" applyFont="1" applyFill="1" applyBorder="1" applyAlignment="1">
      <alignment horizontal="center"/>
    </xf>
    <xf numFmtId="17" fontId="7" fillId="2" borderId="14" xfId="0" applyNumberFormat="1" applyFont="1" applyFill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17" fontId="0" fillId="0" borderId="14" xfId="0" applyNumberFormat="1" applyFont="1" applyBorder="1" applyAlignment="1">
      <alignment horizontal="center"/>
    </xf>
    <xf numFmtId="17" fontId="1" fillId="2" borderId="16" xfId="0" applyNumberFormat="1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17" fontId="0" fillId="0" borderId="23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17" fontId="0" fillId="0" borderId="28" xfId="0" applyNumberFormat="1" applyFont="1" applyBorder="1" applyAlignment="1">
      <alignment horizontal="center"/>
    </xf>
    <xf numFmtId="17" fontId="0" fillId="0" borderId="2" xfId="0" applyNumberFormat="1" applyFont="1" applyBorder="1" applyAlignment="1">
      <alignment horizontal="center"/>
    </xf>
    <xf numFmtId="17" fontId="0" fillId="2" borderId="6" xfId="0" applyNumberFormat="1" applyFont="1" applyFill="1" applyBorder="1" applyAlignment="1">
      <alignment horizontal="center"/>
    </xf>
    <xf numFmtId="17" fontId="14" fillId="0" borderId="0" xfId="0" applyNumberFormat="1" applyFont="1" applyBorder="1" applyAlignment="1">
      <alignment/>
    </xf>
    <xf numFmtId="17" fontId="13" fillId="0" borderId="0" xfId="0" applyNumberFormat="1" applyFont="1" applyBorder="1" applyAlignment="1">
      <alignment/>
    </xf>
    <xf numFmtId="17" fontId="13" fillId="0" borderId="0" xfId="0" applyNumberFormat="1" applyFont="1" applyBorder="1" applyAlignment="1">
      <alignment/>
    </xf>
    <xf numFmtId="17" fontId="0" fillId="2" borderId="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7" fillId="0" borderId="28" xfId="0" applyNumberFormat="1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192" fontId="0" fillId="0" borderId="32" xfId="0" applyNumberFormat="1" applyFill="1" applyBorder="1" applyAlignment="1">
      <alignment/>
    </xf>
    <xf numFmtId="165" fontId="7" fillId="2" borderId="7" xfId="0" applyNumberFormat="1" applyFont="1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197" fontId="0" fillId="0" borderId="3" xfId="0" applyNumberFormat="1" applyFont="1" applyFill="1" applyBorder="1" applyAlignment="1">
      <alignment horizontal="right"/>
    </xf>
    <xf numFmtId="165" fontId="0" fillId="0" borderId="12" xfId="0" applyNumberFormat="1" applyFont="1" applyBorder="1" applyAlignment="1">
      <alignment/>
    </xf>
    <xf numFmtId="165" fontId="0" fillId="2" borderId="18" xfId="0" applyNumberFormat="1" applyFont="1" applyFill="1" applyBorder="1" applyAlignment="1">
      <alignment/>
    </xf>
    <xf numFmtId="165" fontId="0" fillId="0" borderId="5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16" xfId="0" applyNumberFormat="1" applyFont="1" applyFill="1" applyBorder="1" applyAlignment="1">
      <alignment/>
    </xf>
    <xf numFmtId="0" fontId="0" fillId="4" borderId="0" xfId="0" applyFont="1" applyFill="1" applyAlignment="1">
      <alignment horizontal="left"/>
    </xf>
    <xf numFmtId="165" fontId="0" fillId="4" borderId="0" xfId="0" applyNumberFormat="1" applyFont="1" applyFill="1" applyBorder="1" applyAlignment="1">
      <alignment/>
    </xf>
    <xf numFmtId="17" fontId="0" fillId="0" borderId="0" xfId="0" applyNumberFormat="1" applyFont="1" applyBorder="1" applyAlignment="1">
      <alignment/>
    </xf>
    <xf numFmtId="165" fontId="4" fillId="2" borderId="16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12" fillId="2" borderId="14" xfId="0" applyNumberFormat="1" applyFont="1" applyFill="1" applyBorder="1" applyAlignment="1">
      <alignment/>
    </xf>
    <xf numFmtId="0" fontId="0" fillId="0" borderId="25" xfId="0" applyFont="1" applyBorder="1" applyAlignment="1" quotePrefix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8" fillId="0" borderId="3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12" fillId="0" borderId="3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7" fontId="1" fillId="2" borderId="23" xfId="0" applyNumberFormat="1" applyFont="1" applyFill="1" applyBorder="1" applyAlignment="1">
      <alignment horizontal="center"/>
    </xf>
    <xf numFmtId="17" fontId="0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ancy\Corporate%20%20&amp;%20Outstationed\Corporate\Chris%20Mee\Cap%20Monitoring\2002-03\Capital%20Monitoring\2001%20files\2000%20files\Capital%20Report%20Feb%2001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W582"/>
  <sheetViews>
    <sheetView showGridLines="0" tabSelected="1" view="pageBreakPreview" zoomScaleNormal="75" zoomScaleSheetLayoutView="100" workbookViewId="0" topLeftCell="A1">
      <pane xSplit="7" ySplit="3" topLeftCell="T371" activePane="bottomRight" state="frozen"/>
      <selection pane="topLeft" activeCell="A1" sqref="A1"/>
      <selection pane="topRight" activeCell="H1" sqref="H1"/>
      <selection pane="bottomLeft" activeCell="A4" sqref="A4"/>
      <selection pane="bottomRight" activeCell="G91" sqref="G91:G137"/>
    </sheetView>
  </sheetViews>
  <sheetFormatPr defaultColWidth="6.7109375" defaultRowHeight="12.75"/>
  <cols>
    <col min="1" max="1" width="7.8515625" style="26" hidden="1" customWidth="1"/>
    <col min="2" max="2" width="11.57421875" style="26" hidden="1" customWidth="1"/>
    <col min="3" max="3" width="50.140625" style="6" customWidth="1"/>
    <col min="4" max="4" width="9.57421875" style="6" customWidth="1"/>
    <col min="5" max="5" width="10.140625" style="138" hidden="1" customWidth="1"/>
    <col min="6" max="6" width="8.140625" style="138" hidden="1" customWidth="1"/>
    <col min="7" max="7" width="10.140625" style="163" customWidth="1"/>
    <col min="8" max="8" width="7.7109375" style="14" hidden="1" customWidth="1"/>
    <col min="9" max="17" width="7.7109375" style="6" hidden="1" customWidth="1"/>
    <col min="18" max="18" width="9.140625" style="6" hidden="1" customWidth="1"/>
    <col min="19" max="19" width="7.7109375" style="6" hidden="1" customWidth="1"/>
    <col min="20" max="20" width="9.00390625" style="6" customWidth="1"/>
    <col min="21" max="21" width="9.00390625" style="6" hidden="1" customWidth="1"/>
    <col min="22" max="22" width="12.140625" style="220" hidden="1" customWidth="1"/>
    <col min="23" max="23" width="11.7109375" style="6" customWidth="1"/>
    <col min="24" max="24" width="10.7109375" style="6" customWidth="1"/>
    <col min="25" max="25" width="13.00390625" style="6" customWidth="1"/>
    <col min="26" max="26" width="10.7109375" style="6" customWidth="1"/>
    <col min="27" max="27" width="14.7109375" style="6" customWidth="1"/>
    <col min="28" max="28" width="10.7109375" style="6" customWidth="1"/>
    <col min="29" max="29" width="10.7109375" style="26" customWidth="1"/>
    <col min="30" max="30" width="11.7109375" style="26" customWidth="1"/>
    <col min="31" max="31" width="10.8515625" style="26" hidden="1" customWidth="1"/>
    <col min="32" max="33" width="10.7109375" style="26" hidden="1" customWidth="1"/>
    <col min="34" max="34" width="10.57421875" style="26" hidden="1" customWidth="1"/>
    <col min="35" max="46" width="10.7109375" style="26" hidden="1" customWidth="1"/>
    <col min="47" max="47" width="11.421875" style="26" hidden="1" customWidth="1"/>
    <col min="48" max="48" width="10.7109375" style="26" hidden="1" customWidth="1"/>
    <col min="49" max="49" width="26.57421875" style="26" hidden="1" customWidth="1"/>
    <col min="50" max="55" width="10.7109375" style="26" hidden="1" customWidth="1"/>
    <col min="56" max="70" width="10.7109375" style="26" customWidth="1"/>
    <col min="71" max="16384" width="1.8515625" style="26" customWidth="1"/>
  </cols>
  <sheetData>
    <row r="1" spans="3:23" ht="13.5" customHeight="1" thickBot="1">
      <c r="C1" s="10" t="s">
        <v>519</v>
      </c>
      <c r="H1" s="6"/>
      <c r="W1" s="10" t="s">
        <v>520</v>
      </c>
    </row>
    <row r="2" spans="2:30" ht="40.5" customHeight="1">
      <c r="B2" s="26" t="s">
        <v>368</v>
      </c>
      <c r="C2" s="3"/>
      <c r="D2" s="36" t="s">
        <v>213</v>
      </c>
      <c r="E2" s="321" t="s">
        <v>296</v>
      </c>
      <c r="F2" s="322"/>
      <c r="G2" s="300" t="s">
        <v>244</v>
      </c>
      <c r="H2" s="323" t="s">
        <v>366</v>
      </c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5"/>
      <c r="T2" s="25" t="s">
        <v>366</v>
      </c>
      <c r="U2" s="281"/>
      <c r="V2" s="221" t="s">
        <v>464</v>
      </c>
      <c r="W2" s="36" t="s">
        <v>250</v>
      </c>
      <c r="X2" s="36" t="s">
        <v>367</v>
      </c>
      <c r="Y2" s="96" t="s">
        <v>176</v>
      </c>
      <c r="Z2" s="13"/>
      <c r="AA2" s="36" t="s">
        <v>321</v>
      </c>
      <c r="AB2" s="13"/>
      <c r="AC2" s="37"/>
      <c r="AD2" s="37"/>
    </row>
    <row r="3" spans="2:49" ht="15" customHeight="1" thickBot="1">
      <c r="B3" s="26" t="s">
        <v>369</v>
      </c>
      <c r="C3" s="24"/>
      <c r="D3" s="38"/>
      <c r="E3" s="233" t="s">
        <v>297</v>
      </c>
      <c r="F3" s="234" t="s">
        <v>298</v>
      </c>
      <c r="G3" s="301" t="s">
        <v>194</v>
      </c>
      <c r="H3" s="4" t="s">
        <v>185</v>
      </c>
      <c r="I3" s="4" t="s">
        <v>186</v>
      </c>
      <c r="J3" s="4" t="s">
        <v>187</v>
      </c>
      <c r="K3" s="4" t="s">
        <v>188</v>
      </c>
      <c r="L3" s="4" t="s">
        <v>189</v>
      </c>
      <c r="M3" s="4" t="s">
        <v>190</v>
      </c>
      <c r="N3" s="4" t="s">
        <v>191</v>
      </c>
      <c r="O3" s="4" t="s">
        <v>192</v>
      </c>
      <c r="P3" s="4" t="s">
        <v>193</v>
      </c>
      <c r="Q3" s="4" t="s">
        <v>194</v>
      </c>
      <c r="R3" s="4" t="s">
        <v>195</v>
      </c>
      <c r="S3" s="4" t="s">
        <v>196</v>
      </c>
      <c r="T3" s="38" t="str">
        <f>G3</f>
        <v>Jan</v>
      </c>
      <c r="U3" s="282"/>
      <c r="V3" s="222"/>
      <c r="W3" s="38" t="s">
        <v>249</v>
      </c>
      <c r="X3" s="38" t="s">
        <v>249</v>
      </c>
      <c r="Y3" s="39"/>
      <c r="Z3" s="38" t="s">
        <v>320</v>
      </c>
      <c r="AA3" s="39"/>
      <c r="AB3" s="38" t="s">
        <v>322</v>
      </c>
      <c r="AC3" s="40" t="s">
        <v>323</v>
      </c>
      <c r="AD3" s="40" t="s">
        <v>308</v>
      </c>
      <c r="AE3" s="35"/>
      <c r="AF3" s="34" t="s">
        <v>324</v>
      </c>
      <c r="AG3" s="34" t="s">
        <v>346</v>
      </c>
      <c r="AH3" s="34" t="s">
        <v>332</v>
      </c>
      <c r="AI3" s="34" t="s">
        <v>337</v>
      </c>
      <c r="AJ3" s="34" t="s">
        <v>335</v>
      </c>
      <c r="AK3" s="34" t="s">
        <v>333</v>
      </c>
      <c r="AL3" s="34" t="s">
        <v>334</v>
      </c>
      <c r="AM3" s="34" t="s">
        <v>325</v>
      </c>
      <c r="AN3" s="34" t="s">
        <v>326</v>
      </c>
      <c r="AO3" s="34" t="s">
        <v>285</v>
      </c>
      <c r="AP3" s="34" t="s">
        <v>327</v>
      </c>
      <c r="AQ3" s="34" t="s">
        <v>328</v>
      </c>
      <c r="AR3" s="34" t="s">
        <v>319</v>
      </c>
      <c r="AS3" s="34" t="s">
        <v>329</v>
      </c>
      <c r="AT3" s="34" t="s">
        <v>336</v>
      </c>
      <c r="AU3" s="34" t="s">
        <v>330</v>
      </c>
      <c r="AV3" s="34" t="s">
        <v>308</v>
      </c>
      <c r="AW3" s="26" t="s">
        <v>331</v>
      </c>
    </row>
    <row r="4" spans="3:48" ht="12.75">
      <c r="C4" s="3"/>
      <c r="D4" s="104" t="s">
        <v>286</v>
      </c>
      <c r="E4" s="235"/>
      <c r="F4" s="236"/>
      <c r="G4" s="302" t="s">
        <v>286</v>
      </c>
      <c r="H4" s="83" t="s">
        <v>286</v>
      </c>
      <c r="I4" s="78" t="s">
        <v>286</v>
      </c>
      <c r="J4" s="78" t="s">
        <v>286</v>
      </c>
      <c r="K4" s="78" t="s">
        <v>286</v>
      </c>
      <c r="L4" s="78" t="s">
        <v>286</v>
      </c>
      <c r="M4" s="78" t="s">
        <v>286</v>
      </c>
      <c r="N4" s="78" t="s">
        <v>286</v>
      </c>
      <c r="O4" s="78" t="s">
        <v>286</v>
      </c>
      <c r="P4" s="78" t="s">
        <v>286</v>
      </c>
      <c r="Q4" s="78" t="s">
        <v>286</v>
      </c>
      <c r="R4" s="78" t="s">
        <v>286</v>
      </c>
      <c r="S4" s="82" t="s">
        <v>286</v>
      </c>
      <c r="T4" s="82" t="s">
        <v>286</v>
      </c>
      <c r="U4" s="15"/>
      <c r="V4" s="222"/>
      <c r="W4" s="157" t="s">
        <v>286</v>
      </c>
      <c r="X4" s="41" t="s">
        <v>286</v>
      </c>
      <c r="Y4" s="41"/>
      <c r="Z4" s="41" t="s">
        <v>286</v>
      </c>
      <c r="AA4" s="41" t="s">
        <v>286</v>
      </c>
      <c r="AB4" s="41" t="s">
        <v>286</v>
      </c>
      <c r="AC4" s="42" t="s">
        <v>286</v>
      </c>
      <c r="AD4" s="41" t="s">
        <v>286</v>
      </c>
      <c r="AF4" s="26" t="s">
        <v>286</v>
      </c>
      <c r="AH4" s="26" t="s">
        <v>286</v>
      </c>
      <c r="AI4" s="26" t="s">
        <v>286</v>
      </c>
      <c r="AJ4" s="26" t="s">
        <v>286</v>
      </c>
      <c r="AK4" s="26" t="s">
        <v>286</v>
      </c>
      <c r="AL4" s="26" t="s">
        <v>286</v>
      </c>
      <c r="AM4" s="26" t="s">
        <v>286</v>
      </c>
      <c r="AN4" s="26" t="s">
        <v>286</v>
      </c>
      <c r="AO4" s="26" t="s">
        <v>286</v>
      </c>
      <c r="AP4" s="26" t="s">
        <v>286</v>
      </c>
      <c r="AQ4" s="26" t="s">
        <v>286</v>
      </c>
      <c r="AR4" s="26" t="s">
        <v>286</v>
      </c>
      <c r="AS4" s="26" t="s">
        <v>286</v>
      </c>
      <c r="AT4" s="26" t="s">
        <v>286</v>
      </c>
      <c r="AU4" s="26" t="s">
        <v>286</v>
      </c>
      <c r="AV4" s="27" t="s">
        <v>286</v>
      </c>
    </row>
    <row r="5" spans="3:48" ht="12.75">
      <c r="C5" s="7"/>
      <c r="D5" s="5"/>
      <c r="E5" s="235"/>
      <c r="F5" s="237"/>
      <c r="G5" s="166"/>
      <c r="H5" s="44"/>
      <c r="S5" s="84"/>
      <c r="T5" s="84"/>
      <c r="W5" s="29"/>
      <c r="X5" s="29"/>
      <c r="Y5" s="29"/>
      <c r="Z5" s="29"/>
      <c r="AA5" s="29"/>
      <c r="AB5" s="29"/>
      <c r="AC5" s="30"/>
      <c r="AD5" s="30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30"/>
    </row>
    <row r="6" spans="3:48" ht="12.75">
      <c r="C6" s="7" t="s">
        <v>172</v>
      </c>
      <c r="D6" s="5"/>
      <c r="E6" s="235"/>
      <c r="F6" s="237"/>
      <c r="G6" s="166"/>
      <c r="H6" s="44"/>
      <c r="S6" s="84"/>
      <c r="T6" s="84"/>
      <c r="W6" s="29"/>
      <c r="X6" s="29"/>
      <c r="Y6" s="29"/>
      <c r="Z6" s="29"/>
      <c r="AA6" s="29"/>
      <c r="AB6" s="29"/>
      <c r="AC6" s="30"/>
      <c r="AD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2:48" ht="12.75">
      <c r="B7" s="297" t="s">
        <v>350</v>
      </c>
      <c r="C7" s="76" t="s">
        <v>242</v>
      </c>
      <c r="D7" s="132">
        <v>5.519</v>
      </c>
      <c r="E7" s="238"/>
      <c r="F7" s="238"/>
      <c r="G7" s="303">
        <v>3.117</v>
      </c>
      <c r="H7" s="44">
        <f>D7/12</f>
        <v>0.4599166666666667</v>
      </c>
      <c r="I7" s="6">
        <f>H7</f>
        <v>0.4599166666666667</v>
      </c>
      <c r="J7" s="6">
        <f aca="true" t="shared" si="0" ref="J7:S7">I7</f>
        <v>0.4599166666666667</v>
      </c>
      <c r="K7" s="6">
        <f t="shared" si="0"/>
        <v>0.4599166666666667</v>
      </c>
      <c r="L7" s="6">
        <f t="shared" si="0"/>
        <v>0.4599166666666667</v>
      </c>
      <c r="M7" s="6">
        <f t="shared" si="0"/>
        <v>0.4599166666666667</v>
      </c>
      <c r="N7" s="6">
        <f t="shared" si="0"/>
        <v>0.4599166666666667</v>
      </c>
      <c r="O7" s="6">
        <f t="shared" si="0"/>
        <v>0.4599166666666667</v>
      </c>
      <c r="P7" s="6">
        <f t="shared" si="0"/>
        <v>0.4599166666666667</v>
      </c>
      <c r="Q7" s="6">
        <f t="shared" si="0"/>
        <v>0.4599166666666667</v>
      </c>
      <c r="R7" s="6">
        <f t="shared" si="0"/>
        <v>0.4599166666666667</v>
      </c>
      <c r="S7" s="6">
        <f t="shared" si="0"/>
        <v>0.4599166666666667</v>
      </c>
      <c r="T7" s="150">
        <f>SUM(H7:Q7)</f>
        <v>4.599166666666666</v>
      </c>
      <c r="U7" s="152"/>
      <c r="W7" s="29"/>
      <c r="X7" s="29"/>
      <c r="Y7" s="29"/>
      <c r="Z7" s="29"/>
      <c r="AA7" s="29"/>
      <c r="AB7" s="29"/>
      <c r="AC7" s="30"/>
      <c r="AD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</row>
    <row r="8" spans="2:48" ht="12.75">
      <c r="B8" s="297" t="s">
        <v>350</v>
      </c>
      <c r="C8" s="76" t="s">
        <v>165</v>
      </c>
      <c r="D8" s="132">
        <v>6.348</v>
      </c>
      <c r="E8" s="235"/>
      <c r="G8" s="304">
        <v>4.865</v>
      </c>
      <c r="H8" s="44">
        <f aca="true" t="shared" si="1" ref="H8:H15">D8/12</f>
        <v>0.529</v>
      </c>
      <c r="I8" s="6">
        <f aca="true" t="shared" si="2" ref="I8:S15">H8</f>
        <v>0.529</v>
      </c>
      <c r="J8" s="6">
        <f t="shared" si="2"/>
        <v>0.529</v>
      </c>
      <c r="K8" s="6">
        <f t="shared" si="2"/>
        <v>0.529</v>
      </c>
      <c r="L8" s="6">
        <f t="shared" si="2"/>
        <v>0.529</v>
      </c>
      <c r="M8" s="6">
        <f t="shared" si="2"/>
        <v>0.529</v>
      </c>
      <c r="N8" s="6">
        <f t="shared" si="2"/>
        <v>0.529</v>
      </c>
      <c r="O8" s="6">
        <f t="shared" si="2"/>
        <v>0.529</v>
      </c>
      <c r="P8" s="6">
        <f t="shared" si="2"/>
        <v>0.529</v>
      </c>
      <c r="Q8" s="6">
        <f t="shared" si="2"/>
        <v>0.529</v>
      </c>
      <c r="R8" s="6">
        <f t="shared" si="2"/>
        <v>0.529</v>
      </c>
      <c r="S8" s="6">
        <f t="shared" si="2"/>
        <v>0.529</v>
      </c>
      <c r="T8" s="150">
        <f aca="true" t="shared" si="3" ref="T8:T15">SUM(H8:Q8)</f>
        <v>5.29</v>
      </c>
      <c r="U8" s="151"/>
      <c r="V8" s="223"/>
      <c r="W8" s="153"/>
      <c r="X8" s="153"/>
      <c r="Y8" s="153"/>
      <c r="Z8" s="153"/>
      <c r="AA8" s="153"/>
      <c r="AB8" s="29"/>
      <c r="AC8" s="153"/>
      <c r="AD8" s="153"/>
      <c r="AE8" s="152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30">
        <f aca="true" t="shared" si="4" ref="AV8:AV15">SUM(AF8:AU8)</f>
        <v>0</v>
      </c>
    </row>
    <row r="9" spans="2:48" ht="12.75">
      <c r="B9" s="297" t="s">
        <v>350</v>
      </c>
      <c r="C9" s="141" t="s">
        <v>166</v>
      </c>
      <c r="D9" s="132">
        <v>10.15</v>
      </c>
      <c r="E9" s="235"/>
      <c r="G9" s="304">
        <v>8.082</v>
      </c>
      <c r="H9" s="44">
        <f t="shared" si="1"/>
        <v>0.8458333333333333</v>
      </c>
      <c r="I9" s="6">
        <f t="shared" si="2"/>
        <v>0.8458333333333333</v>
      </c>
      <c r="J9" s="6">
        <f t="shared" si="2"/>
        <v>0.8458333333333333</v>
      </c>
      <c r="K9" s="6">
        <f t="shared" si="2"/>
        <v>0.8458333333333333</v>
      </c>
      <c r="L9" s="6">
        <f t="shared" si="2"/>
        <v>0.8458333333333333</v>
      </c>
      <c r="M9" s="6">
        <f t="shared" si="2"/>
        <v>0.8458333333333333</v>
      </c>
      <c r="N9" s="6">
        <f t="shared" si="2"/>
        <v>0.8458333333333333</v>
      </c>
      <c r="O9" s="6">
        <f t="shared" si="2"/>
        <v>0.8458333333333333</v>
      </c>
      <c r="P9" s="6">
        <f t="shared" si="2"/>
        <v>0.8458333333333333</v>
      </c>
      <c r="Q9" s="6">
        <f t="shared" si="2"/>
        <v>0.8458333333333333</v>
      </c>
      <c r="R9" s="6">
        <f t="shared" si="2"/>
        <v>0.8458333333333333</v>
      </c>
      <c r="S9" s="6">
        <f t="shared" si="2"/>
        <v>0.8458333333333333</v>
      </c>
      <c r="T9" s="150">
        <f t="shared" si="3"/>
        <v>8.458333333333334</v>
      </c>
      <c r="U9" s="151"/>
      <c r="V9" s="223"/>
      <c r="W9" s="153"/>
      <c r="X9" s="153"/>
      <c r="Y9" s="153"/>
      <c r="Z9" s="153"/>
      <c r="AA9" s="153"/>
      <c r="AB9" s="29"/>
      <c r="AC9" s="153"/>
      <c r="AD9" s="153"/>
      <c r="AE9" s="152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30">
        <f t="shared" si="4"/>
        <v>0</v>
      </c>
    </row>
    <row r="10" spans="2:48" ht="12.75">
      <c r="B10" s="297" t="s">
        <v>350</v>
      </c>
      <c r="C10" s="76" t="s">
        <v>167</v>
      </c>
      <c r="D10" s="132">
        <v>2</v>
      </c>
      <c r="E10" s="235"/>
      <c r="G10" s="304">
        <v>1.494</v>
      </c>
      <c r="H10" s="44">
        <f t="shared" si="1"/>
        <v>0.16666666666666666</v>
      </c>
      <c r="I10" s="6">
        <f t="shared" si="2"/>
        <v>0.16666666666666666</v>
      </c>
      <c r="J10" s="6">
        <f t="shared" si="2"/>
        <v>0.16666666666666666</v>
      </c>
      <c r="K10" s="6">
        <f t="shared" si="2"/>
        <v>0.16666666666666666</v>
      </c>
      <c r="L10" s="6">
        <f t="shared" si="2"/>
        <v>0.16666666666666666</v>
      </c>
      <c r="M10" s="6">
        <f t="shared" si="2"/>
        <v>0.16666666666666666</v>
      </c>
      <c r="N10" s="6">
        <f t="shared" si="2"/>
        <v>0.16666666666666666</v>
      </c>
      <c r="O10" s="6">
        <f t="shared" si="2"/>
        <v>0.16666666666666666</v>
      </c>
      <c r="P10" s="6">
        <f t="shared" si="2"/>
        <v>0.16666666666666666</v>
      </c>
      <c r="Q10" s="6">
        <f t="shared" si="2"/>
        <v>0.16666666666666666</v>
      </c>
      <c r="R10" s="6">
        <f t="shared" si="2"/>
        <v>0.16666666666666666</v>
      </c>
      <c r="S10" s="6">
        <f t="shared" si="2"/>
        <v>0.16666666666666666</v>
      </c>
      <c r="T10" s="150">
        <f t="shared" si="3"/>
        <v>1.6666666666666667</v>
      </c>
      <c r="U10" s="151"/>
      <c r="V10" s="223"/>
      <c r="W10" s="153"/>
      <c r="X10" s="153"/>
      <c r="Y10" s="153"/>
      <c r="Z10" s="153"/>
      <c r="AA10" s="153"/>
      <c r="AB10" s="29"/>
      <c r="AC10" s="153"/>
      <c r="AD10" s="153"/>
      <c r="AE10" s="152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30">
        <f t="shared" si="4"/>
        <v>0</v>
      </c>
    </row>
    <row r="11" spans="2:48" ht="12.75">
      <c r="B11" s="297" t="s">
        <v>350</v>
      </c>
      <c r="C11" s="76" t="s">
        <v>168</v>
      </c>
      <c r="D11" s="132">
        <v>1.251</v>
      </c>
      <c r="E11" s="235"/>
      <c r="G11" s="304">
        <v>0.266</v>
      </c>
      <c r="H11" s="44">
        <f t="shared" si="1"/>
        <v>0.10425</v>
      </c>
      <c r="I11" s="6">
        <f t="shared" si="2"/>
        <v>0.10425</v>
      </c>
      <c r="J11" s="6">
        <f t="shared" si="2"/>
        <v>0.10425</v>
      </c>
      <c r="K11" s="6">
        <f t="shared" si="2"/>
        <v>0.10425</v>
      </c>
      <c r="L11" s="6">
        <f t="shared" si="2"/>
        <v>0.10425</v>
      </c>
      <c r="M11" s="6">
        <f t="shared" si="2"/>
        <v>0.10425</v>
      </c>
      <c r="N11" s="6">
        <f t="shared" si="2"/>
        <v>0.10425</v>
      </c>
      <c r="O11" s="6">
        <f t="shared" si="2"/>
        <v>0.10425</v>
      </c>
      <c r="P11" s="6">
        <f t="shared" si="2"/>
        <v>0.10425</v>
      </c>
      <c r="Q11" s="6">
        <f t="shared" si="2"/>
        <v>0.10425</v>
      </c>
      <c r="R11" s="6">
        <f t="shared" si="2"/>
        <v>0.10425</v>
      </c>
      <c r="S11" s="6">
        <f t="shared" si="2"/>
        <v>0.10425</v>
      </c>
      <c r="T11" s="150">
        <f t="shared" si="3"/>
        <v>1.0424999999999998</v>
      </c>
      <c r="U11" s="151"/>
      <c r="V11" s="223"/>
      <c r="W11" s="153"/>
      <c r="X11" s="153"/>
      <c r="Y11" s="153"/>
      <c r="Z11" s="153"/>
      <c r="AA11" s="153"/>
      <c r="AB11" s="29"/>
      <c r="AC11" s="153"/>
      <c r="AD11" s="153"/>
      <c r="AE11" s="152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30">
        <f t="shared" si="4"/>
        <v>0</v>
      </c>
    </row>
    <row r="12" spans="2:48" ht="12.75">
      <c r="B12" s="297" t="s">
        <v>350</v>
      </c>
      <c r="C12" s="141" t="s">
        <v>169</v>
      </c>
      <c r="D12" s="132">
        <v>0.64</v>
      </c>
      <c r="E12" s="235"/>
      <c r="G12" s="304">
        <v>0.125</v>
      </c>
      <c r="H12" s="44">
        <f t="shared" si="1"/>
        <v>0.05333333333333334</v>
      </c>
      <c r="I12" s="6">
        <f t="shared" si="2"/>
        <v>0.05333333333333334</v>
      </c>
      <c r="J12" s="6">
        <f t="shared" si="2"/>
        <v>0.05333333333333334</v>
      </c>
      <c r="K12" s="6">
        <f t="shared" si="2"/>
        <v>0.05333333333333334</v>
      </c>
      <c r="L12" s="6">
        <f t="shared" si="2"/>
        <v>0.05333333333333334</v>
      </c>
      <c r="M12" s="6">
        <f t="shared" si="2"/>
        <v>0.05333333333333334</v>
      </c>
      <c r="N12" s="6">
        <f t="shared" si="2"/>
        <v>0.05333333333333334</v>
      </c>
      <c r="O12" s="6">
        <f t="shared" si="2"/>
        <v>0.05333333333333334</v>
      </c>
      <c r="P12" s="6">
        <f t="shared" si="2"/>
        <v>0.05333333333333334</v>
      </c>
      <c r="Q12" s="6">
        <f t="shared" si="2"/>
        <v>0.05333333333333334</v>
      </c>
      <c r="R12" s="6">
        <f t="shared" si="2"/>
        <v>0.05333333333333334</v>
      </c>
      <c r="S12" s="6">
        <f t="shared" si="2"/>
        <v>0.05333333333333334</v>
      </c>
      <c r="T12" s="150">
        <f t="shared" si="3"/>
        <v>0.5333333333333333</v>
      </c>
      <c r="U12" s="151"/>
      <c r="V12" s="223"/>
      <c r="W12" s="153"/>
      <c r="X12" s="153"/>
      <c r="Y12" s="153"/>
      <c r="Z12" s="153"/>
      <c r="AA12" s="153"/>
      <c r="AB12" s="29"/>
      <c r="AC12" s="153"/>
      <c r="AD12" s="153"/>
      <c r="AE12" s="152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30">
        <f t="shared" si="4"/>
        <v>0</v>
      </c>
    </row>
    <row r="13" spans="2:48" ht="12.75">
      <c r="B13" s="297" t="s">
        <v>350</v>
      </c>
      <c r="C13" s="141" t="s">
        <v>170</v>
      </c>
      <c r="D13" s="132">
        <v>4.125</v>
      </c>
      <c r="E13" s="235"/>
      <c r="G13" s="304">
        <v>1.554</v>
      </c>
      <c r="H13" s="44">
        <f t="shared" si="1"/>
        <v>0.34375</v>
      </c>
      <c r="I13" s="6">
        <f t="shared" si="2"/>
        <v>0.34375</v>
      </c>
      <c r="J13" s="6">
        <f t="shared" si="2"/>
        <v>0.34375</v>
      </c>
      <c r="K13" s="6">
        <f t="shared" si="2"/>
        <v>0.34375</v>
      </c>
      <c r="L13" s="6">
        <f t="shared" si="2"/>
        <v>0.34375</v>
      </c>
      <c r="M13" s="6">
        <f t="shared" si="2"/>
        <v>0.34375</v>
      </c>
      <c r="N13" s="6">
        <f t="shared" si="2"/>
        <v>0.34375</v>
      </c>
      <c r="O13" s="6">
        <f t="shared" si="2"/>
        <v>0.34375</v>
      </c>
      <c r="P13" s="6">
        <f t="shared" si="2"/>
        <v>0.34375</v>
      </c>
      <c r="Q13" s="6">
        <f t="shared" si="2"/>
        <v>0.34375</v>
      </c>
      <c r="R13" s="6">
        <f t="shared" si="2"/>
        <v>0.34375</v>
      </c>
      <c r="S13" s="6">
        <f t="shared" si="2"/>
        <v>0.34375</v>
      </c>
      <c r="T13" s="150">
        <f t="shared" si="3"/>
        <v>3.4375</v>
      </c>
      <c r="U13" s="151"/>
      <c r="V13" s="223"/>
      <c r="W13" s="153"/>
      <c r="X13" s="153"/>
      <c r="Y13" s="153"/>
      <c r="Z13" s="153"/>
      <c r="AA13" s="153"/>
      <c r="AB13" s="29"/>
      <c r="AC13" s="153"/>
      <c r="AD13" s="153"/>
      <c r="AE13" s="152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30">
        <f t="shared" si="4"/>
        <v>0</v>
      </c>
    </row>
    <row r="14" spans="2:48" ht="12.75">
      <c r="B14" s="297" t="s">
        <v>350</v>
      </c>
      <c r="C14" s="76" t="s">
        <v>171</v>
      </c>
      <c r="D14" s="132">
        <v>4.354</v>
      </c>
      <c r="E14" s="239"/>
      <c r="G14" s="304">
        <v>2.133</v>
      </c>
      <c r="H14" s="44">
        <f t="shared" si="1"/>
        <v>0.36283333333333334</v>
      </c>
      <c r="I14" s="6">
        <f t="shared" si="2"/>
        <v>0.36283333333333334</v>
      </c>
      <c r="J14" s="6">
        <f t="shared" si="2"/>
        <v>0.36283333333333334</v>
      </c>
      <c r="K14" s="6">
        <f t="shared" si="2"/>
        <v>0.36283333333333334</v>
      </c>
      <c r="L14" s="6">
        <f t="shared" si="2"/>
        <v>0.36283333333333334</v>
      </c>
      <c r="M14" s="6">
        <f t="shared" si="2"/>
        <v>0.36283333333333334</v>
      </c>
      <c r="N14" s="6">
        <f t="shared" si="2"/>
        <v>0.36283333333333334</v>
      </c>
      <c r="O14" s="6">
        <f t="shared" si="2"/>
        <v>0.36283333333333334</v>
      </c>
      <c r="P14" s="6">
        <f t="shared" si="2"/>
        <v>0.36283333333333334</v>
      </c>
      <c r="Q14" s="6">
        <f t="shared" si="2"/>
        <v>0.36283333333333334</v>
      </c>
      <c r="R14" s="6">
        <f t="shared" si="2"/>
        <v>0.36283333333333334</v>
      </c>
      <c r="S14" s="6">
        <f t="shared" si="2"/>
        <v>0.36283333333333334</v>
      </c>
      <c r="T14" s="150">
        <f t="shared" si="3"/>
        <v>3.628333333333334</v>
      </c>
      <c r="U14" s="151"/>
      <c r="V14" s="223"/>
      <c r="W14" s="153"/>
      <c r="X14" s="153"/>
      <c r="Y14" s="153"/>
      <c r="Z14" s="153"/>
      <c r="AA14" s="153"/>
      <c r="AB14" s="29"/>
      <c r="AC14" s="153"/>
      <c r="AD14" s="153"/>
      <c r="AE14" s="152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30">
        <f t="shared" si="4"/>
        <v>0</v>
      </c>
    </row>
    <row r="15" spans="2:49" ht="13.5" thickBot="1">
      <c r="B15" s="297" t="s">
        <v>350</v>
      </c>
      <c r="C15" s="76" t="s">
        <v>525</v>
      </c>
      <c r="D15" s="132">
        <v>-1.059</v>
      </c>
      <c r="E15" s="238"/>
      <c r="F15" s="238"/>
      <c r="G15" s="303"/>
      <c r="H15" s="44">
        <f t="shared" si="1"/>
        <v>-0.08825</v>
      </c>
      <c r="I15" s="6">
        <f t="shared" si="2"/>
        <v>-0.08825</v>
      </c>
      <c r="J15" s="6">
        <f t="shared" si="2"/>
        <v>-0.08825</v>
      </c>
      <c r="K15" s="6">
        <f t="shared" si="2"/>
        <v>-0.08825</v>
      </c>
      <c r="L15" s="6">
        <f t="shared" si="2"/>
        <v>-0.08825</v>
      </c>
      <c r="M15" s="6">
        <f t="shared" si="2"/>
        <v>-0.08825</v>
      </c>
      <c r="N15" s="6">
        <f t="shared" si="2"/>
        <v>-0.08825</v>
      </c>
      <c r="O15" s="6">
        <f t="shared" si="2"/>
        <v>-0.08825</v>
      </c>
      <c r="P15" s="6">
        <f t="shared" si="2"/>
        <v>-0.08825</v>
      </c>
      <c r="Q15" s="6">
        <f t="shared" si="2"/>
        <v>-0.08825</v>
      </c>
      <c r="R15" s="6">
        <f t="shared" si="2"/>
        <v>-0.08825</v>
      </c>
      <c r="S15" s="6">
        <f t="shared" si="2"/>
        <v>-0.08825</v>
      </c>
      <c r="T15" s="150">
        <f t="shared" si="3"/>
        <v>-0.8824999999999998</v>
      </c>
      <c r="U15" s="151"/>
      <c r="V15" s="223"/>
      <c r="W15" s="29">
        <v>3.481</v>
      </c>
      <c r="X15" s="29"/>
      <c r="Y15" s="29"/>
      <c r="Z15" s="29"/>
      <c r="AA15" s="29">
        <f>5.231+1.898</f>
        <v>7.129</v>
      </c>
      <c r="AB15" s="29">
        <f>AV15</f>
        <v>22.706</v>
      </c>
      <c r="AC15" s="30">
        <v>0.012</v>
      </c>
      <c r="AD15" s="30">
        <f>SUM(W15:AC15)</f>
        <v>33.328</v>
      </c>
      <c r="AF15" s="30"/>
      <c r="AG15" s="30">
        <f>0.5-0.5</f>
        <v>0</v>
      </c>
      <c r="AH15" s="30"/>
      <c r="AI15" s="30"/>
      <c r="AJ15" s="30"/>
      <c r="AK15" s="30"/>
      <c r="AL15" s="30"/>
      <c r="AM15" s="30">
        <f>0.73-0.054+0.108</f>
        <v>0.7839999999999999</v>
      </c>
      <c r="AN15" s="30">
        <f>1.362+0.211</f>
        <v>1.5730000000000002</v>
      </c>
      <c r="AO15" s="30">
        <v>0.579</v>
      </c>
      <c r="AP15" s="30">
        <v>1.55</v>
      </c>
      <c r="AQ15" s="30"/>
      <c r="AR15" s="30"/>
      <c r="AS15" s="30">
        <f>20.98+1.24-2.68-1.32</f>
        <v>18.22</v>
      </c>
      <c r="AT15" s="30"/>
      <c r="AU15" s="30"/>
      <c r="AV15" s="130">
        <f t="shared" si="4"/>
        <v>22.706</v>
      </c>
      <c r="AW15" s="26" t="s">
        <v>508</v>
      </c>
    </row>
    <row r="16" spans="2:48" ht="12.75">
      <c r="B16" s="163">
        <f>SUM(D8:D14)/2</f>
        <v>14.434000000000001</v>
      </c>
      <c r="C16" s="7" t="s">
        <v>173</v>
      </c>
      <c r="D16" s="13">
        <f>SUM(D7:D15)</f>
        <v>33.32800000000001</v>
      </c>
      <c r="E16" s="128"/>
      <c r="F16" s="139"/>
      <c r="G16" s="305">
        <f>SUM(G7:G15)</f>
        <v>21.635999999999996</v>
      </c>
      <c r="H16" s="113">
        <f>SUM(H7:H15)</f>
        <v>2.7773333333333334</v>
      </c>
      <c r="I16" s="109">
        <f>SUM(I7:I15)</f>
        <v>2.7773333333333334</v>
      </c>
      <c r="J16" s="109">
        <f aca="true" t="shared" si="5" ref="J16:S16">SUM(J7:J15)</f>
        <v>2.7773333333333334</v>
      </c>
      <c r="K16" s="109">
        <f t="shared" si="5"/>
        <v>2.7773333333333334</v>
      </c>
      <c r="L16" s="109">
        <f t="shared" si="5"/>
        <v>2.7773333333333334</v>
      </c>
      <c r="M16" s="109">
        <f t="shared" si="5"/>
        <v>2.7773333333333334</v>
      </c>
      <c r="N16" s="109">
        <f t="shared" si="5"/>
        <v>2.7773333333333334</v>
      </c>
      <c r="O16" s="109">
        <f t="shared" si="5"/>
        <v>2.7773333333333334</v>
      </c>
      <c r="P16" s="109">
        <f t="shared" si="5"/>
        <v>2.7773333333333334</v>
      </c>
      <c r="Q16" s="109">
        <f t="shared" si="5"/>
        <v>2.7773333333333334</v>
      </c>
      <c r="R16" s="109">
        <f t="shared" si="5"/>
        <v>2.7773333333333334</v>
      </c>
      <c r="S16" s="109">
        <f t="shared" si="5"/>
        <v>2.7773333333333334</v>
      </c>
      <c r="T16" s="183">
        <f>SUM(T7:T15)</f>
        <v>27.773333333333337</v>
      </c>
      <c r="U16" s="151"/>
      <c r="V16" s="223"/>
      <c r="W16" s="122">
        <f>SUM(W7:W15)</f>
        <v>3.481</v>
      </c>
      <c r="X16" s="122">
        <f aca="true" t="shared" si="6" ref="X16:AD16">SUM(X7:X15)</f>
        <v>0</v>
      </c>
      <c r="Y16" s="122">
        <f t="shared" si="6"/>
        <v>0</v>
      </c>
      <c r="Z16" s="122">
        <f t="shared" si="6"/>
        <v>0</v>
      </c>
      <c r="AA16" s="122">
        <f t="shared" si="6"/>
        <v>7.129</v>
      </c>
      <c r="AB16" s="122">
        <f t="shared" si="6"/>
        <v>22.706</v>
      </c>
      <c r="AC16" s="122">
        <f t="shared" si="6"/>
        <v>0.012</v>
      </c>
      <c r="AD16" s="122">
        <f t="shared" si="6"/>
        <v>33.328</v>
      </c>
      <c r="AE16" s="109"/>
      <c r="AF16" s="122">
        <f>SUM(AF7:AF15)</f>
        <v>0</v>
      </c>
      <c r="AG16" s="122">
        <f>SUM(AG7:AG15)</f>
        <v>0</v>
      </c>
      <c r="AH16" s="122">
        <f aca="true" t="shared" si="7" ref="AH16:AV16">SUM(AH7:AH15)</f>
        <v>0</v>
      </c>
      <c r="AI16" s="122">
        <f t="shared" si="7"/>
        <v>0</v>
      </c>
      <c r="AJ16" s="122">
        <f t="shared" si="7"/>
        <v>0</v>
      </c>
      <c r="AK16" s="122">
        <f t="shared" si="7"/>
        <v>0</v>
      </c>
      <c r="AL16" s="122">
        <f t="shared" si="7"/>
        <v>0</v>
      </c>
      <c r="AM16" s="122">
        <f t="shared" si="7"/>
        <v>0.7839999999999999</v>
      </c>
      <c r="AN16" s="122">
        <f t="shared" si="7"/>
        <v>1.5730000000000002</v>
      </c>
      <c r="AO16" s="122">
        <f t="shared" si="7"/>
        <v>0.579</v>
      </c>
      <c r="AP16" s="122">
        <f t="shared" si="7"/>
        <v>1.55</v>
      </c>
      <c r="AQ16" s="122">
        <f t="shared" si="7"/>
        <v>0</v>
      </c>
      <c r="AR16" s="122">
        <f t="shared" si="7"/>
        <v>0</v>
      </c>
      <c r="AS16" s="122">
        <f t="shared" si="7"/>
        <v>18.22</v>
      </c>
      <c r="AT16" s="122">
        <f t="shared" si="7"/>
        <v>0</v>
      </c>
      <c r="AU16" s="122">
        <f t="shared" si="7"/>
        <v>0</v>
      </c>
      <c r="AV16" s="122">
        <f t="shared" si="7"/>
        <v>22.706</v>
      </c>
    </row>
    <row r="17" spans="2:48" ht="12.75">
      <c r="B17" s="163"/>
      <c r="C17" s="5"/>
      <c r="D17" s="5"/>
      <c r="E17" s="235"/>
      <c r="G17" s="306"/>
      <c r="H17" s="44"/>
      <c r="T17" s="150"/>
      <c r="U17" s="151"/>
      <c r="V17" s="223"/>
      <c r="W17" s="29"/>
      <c r="X17" s="29"/>
      <c r="Y17" s="29"/>
      <c r="Z17" s="29"/>
      <c r="AA17" s="29"/>
      <c r="AB17" s="29"/>
      <c r="AC17" s="30"/>
      <c r="AD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ht="12.75">
      <c r="B18" s="163"/>
      <c r="C18" s="8"/>
      <c r="D18" s="5"/>
      <c r="E18" s="235"/>
      <c r="G18" s="306"/>
      <c r="H18" s="44"/>
      <c r="T18" s="5"/>
      <c r="U18" s="44"/>
      <c r="V18" s="223"/>
      <c r="W18" s="29"/>
      <c r="X18" s="29"/>
      <c r="Y18" s="29"/>
      <c r="Z18" s="29"/>
      <c r="AA18" s="29"/>
      <c r="AB18" s="29"/>
      <c r="AC18" s="30"/>
      <c r="AD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2.75">
      <c r="B19" s="163"/>
      <c r="C19" s="7" t="s">
        <v>174</v>
      </c>
      <c r="D19" s="5"/>
      <c r="E19" s="235"/>
      <c r="G19" s="306"/>
      <c r="H19" s="44"/>
      <c r="T19" s="5"/>
      <c r="U19" s="44"/>
      <c r="V19" s="223"/>
      <c r="W19" s="29"/>
      <c r="X19" s="29"/>
      <c r="Y19" s="29"/>
      <c r="Z19" s="29"/>
      <c r="AA19" s="29"/>
      <c r="AB19" s="29"/>
      <c r="AC19" s="30"/>
      <c r="AD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1:48" ht="12" customHeight="1">
      <c r="A20" s="26" t="s">
        <v>257</v>
      </c>
      <c r="B20" s="294" t="s">
        <v>350</v>
      </c>
      <c r="C20" s="144" t="s">
        <v>0</v>
      </c>
      <c r="D20" s="19">
        <v>10.321</v>
      </c>
      <c r="E20" s="238"/>
      <c r="F20" s="238"/>
      <c r="G20" s="166">
        <v>8.392</v>
      </c>
      <c r="H20" s="106">
        <v>0</v>
      </c>
      <c r="I20" s="106">
        <v>0</v>
      </c>
      <c r="J20" s="106">
        <v>0.624</v>
      </c>
      <c r="K20" s="106">
        <v>1.962</v>
      </c>
      <c r="L20" s="106">
        <v>1.241</v>
      </c>
      <c r="M20" s="106">
        <v>1.05</v>
      </c>
      <c r="N20" s="106">
        <v>1.204</v>
      </c>
      <c r="O20" s="106">
        <v>0.997</v>
      </c>
      <c r="P20" s="106">
        <v>1.045</v>
      </c>
      <c r="Q20" s="106">
        <v>0.624</v>
      </c>
      <c r="R20" s="106">
        <v>0.647</v>
      </c>
      <c r="S20" s="106">
        <v>0.41</v>
      </c>
      <c r="T20" s="150">
        <f aca="true" t="shared" si="8" ref="T20:T31">SUM(H20:Q20)</f>
        <v>8.747</v>
      </c>
      <c r="U20" s="80"/>
      <c r="V20" s="223"/>
      <c r="W20" s="134"/>
      <c r="X20" s="134"/>
      <c r="Y20" s="134"/>
      <c r="Z20" s="134"/>
      <c r="AA20" s="134"/>
      <c r="AB20" s="134"/>
      <c r="AC20" s="134"/>
      <c r="AD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</row>
    <row r="21" spans="1:48" ht="12.75">
      <c r="A21" s="26" t="s">
        <v>258</v>
      </c>
      <c r="B21" s="294" t="s">
        <v>350</v>
      </c>
      <c r="C21" s="142" t="s">
        <v>1</v>
      </c>
      <c r="D21" s="19">
        <v>0.45199999999999996</v>
      </c>
      <c r="E21" s="238"/>
      <c r="F21" s="238"/>
      <c r="G21" s="166">
        <v>0.115</v>
      </c>
      <c r="H21" s="81">
        <v>0.023</v>
      </c>
      <c r="I21" s="12">
        <v>0</v>
      </c>
      <c r="J21" s="12">
        <v>0.007</v>
      </c>
      <c r="K21" s="12">
        <v>0</v>
      </c>
      <c r="L21" s="12">
        <v>0.04</v>
      </c>
      <c r="M21" s="12">
        <v>0</v>
      </c>
      <c r="N21" s="12">
        <v>0</v>
      </c>
      <c r="O21" s="12">
        <v>0.025</v>
      </c>
      <c r="P21" s="12">
        <v>0.06</v>
      </c>
      <c r="Q21" s="12">
        <v>0.017</v>
      </c>
      <c r="R21" s="12">
        <v>0.074</v>
      </c>
      <c r="S21" s="12">
        <v>0.165</v>
      </c>
      <c r="T21" s="150">
        <f t="shared" si="8"/>
        <v>0.172</v>
      </c>
      <c r="U21" s="80"/>
      <c r="V21" s="223"/>
      <c r="W21" s="29"/>
      <c r="X21" s="29"/>
      <c r="Y21" s="29"/>
      <c r="Z21" s="29"/>
      <c r="AA21" s="29"/>
      <c r="AB21" s="29"/>
      <c r="AC21" s="30"/>
      <c r="AD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1:48" ht="13.5" customHeight="1">
      <c r="A22" s="26" t="s">
        <v>259</v>
      </c>
      <c r="B22" s="294" t="s">
        <v>350</v>
      </c>
      <c r="C22" s="142" t="s">
        <v>2</v>
      </c>
      <c r="D22" s="19">
        <v>4.137</v>
      </c>
      <c r="E22" s="238"/>
      <c r="F22" s="238"/>
      <c r="G22" s="166">
        <v>2.873</v>
      </c>
      <c r="H22" s="81">
        <v>0.691</v>
      </c>
      <c r="I22" s="12"/>
      <c r="J22" s="26">
        <v>0.311</v>
      </c>
      <c r="K22" s="26">
        <v>0.557</v>
      </c>
      <c r="L22" s="26">
        <v>0.238</v>
      </c>
      <c r="M22" s="26">
        <v>0.228</v>
      </c>
      <c r="N22" s="26">
        <v>0.335</v>
      </c>
      <c r="O22" s="26">
        <v>0.369</v>
      </c>
      <c r="P22" s="26">
        <v>0.312</v>
      </c>
      <c r="Q22" s="26">
        <v>0.3</v>
      </c>
      <c r="R22" s="26">
        <v>0.496</v>
      </c>
      <c r="S22" s="26">
        <v>0.287</v>
      </c>
      <c r="T22" s="150">
        <f t="shared" si="8"/>
        <v>3.3409999999999997</v>
      </c>
      <c r="U22" s="80"/>
      <c r="V22" s="223"/>
      <c r="W22" s="29"/>
      <c r="X22" s="29"/>
      <c r="Y22" s="29"/>
      <c r="Z22" s="29"/>
      <c r="AA22" s="29"/>
      <c r="AB22" s="29"/>
      <c r="AC22" s="30"/>
      <c r="AD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1:48" ht="12.75">
      <c r="A23" s="26" t="s">
        <v>260</v>
      </c>
      <c r="B23" s="294" t="s">
        <v>350</v>
      </c>
      <c r="C23" s="175" t="s">
        <v>3</v>
      </c>
      <c r="D23" s="179">
        <v>0.049</v>
      </c>
      <c r="E23" s="240"/>
      <c r="F23" s="240"/>
      <c r="G23" s="307">
        <v>0.048</v>
      </c>
      <c r="H23" s="149">
        <v>0</v>
      </c>
      <c r="I23" s="79">
        <v>0</v>
      </c>
      <c r="J23" s="79">
        <v>0.048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-0.005</v>
      </c>
      <c r="T23" s="150">
        <f t="shared" si="8"/>
        <v>0.048</v>
      </c>
      <c r="U23" s="80"/>
      <c r="V23" s="223"/>
      <c r="W23" s="29"/>
      <c r="X23" s="29"/>
      <c r="Y23" s="29"/>
      <c r="Z23" s="29"/>
      <c r="AA23" s="29"/>
      <c r="AB23" s="29"/>
      <c r="AC23" s="30"/>
      <c r="AD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1:48" ht="12.75">
      <c r="A24" s="26" t="s">
        <v>261</v>
      </c>
      <c r="B24" s="294" t="s">
        <v>350</v>
      </c>
      <c r="C24" s="175" t="s">
        <v>6</v>
      </c>
      <c r="D24" s="179">
        <v>0.033</v>
      </c>
      <c r="E24" s="240"/>
      <c r="F24" s="240"/>
      <c r="G24" s="307">
        <v>0.023</v>
      </c>
      <c r="H24" s="79">
        <v>0.037</v>
      </c>
      <c r="I24" s="79">
        <v>0</v>
      </c>
      <c r="J24" s="79">
        <v>-0.035</v>
      </c>
      <c r="K24" s="79">
        <v>0</v>
      </c>
      <c r="L24" s="79">
        <v>0.008</v>
      </c>
      <c r="M24" s="79">
        <v>0</v>
      </c>
      <c r="N24" s="79">
        <v>0.013</v>
      </c>
      <c r="O24" s="79">
        <v>0</v>
      </c>
      <c r="P24" s="79">
        <v>0</v>
      </c>
      <c r="Q24" s="79">
        <v>0</v>
      </c>
      <c r="R24" s="79">
        <v>0</v>
      </c>
      <c r="S24" s="79">
        <v>0.009</v>
      </c>
      <c r="T24" s="150">
        <f t="shared" si="8"/>
        <v>0.022999999999999993</v>
      </c>
      <c r="U24" s="80"/>
      <c r="V24" s="223"/>
      <c r="W24" s="29"/>
      <c r="X24" s="29"/>
      <c r="Y24" s="29"/>
      <c r="Z24" s="29"/>
      <c r="AA24" s="29"/>
      <c r="AB24" s="29"/>
      <c r="AC24" s="30"/>
      <c r="AD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1:48" ht="12.75">
      <c r="A25" s="26" t="s">
        <v>266</v>
      </c>
      <c r="B25" s="294" t="s">
        <v>350</v>
      </c>
      <c r="C25" s="175" t="s">
        <v>504</v>
      </c>
      <c r="D25" s="179">
        <v>2.884</v>
      </c>
      <c r="E25" s="240"/>
      <c r="F25" s="240"/>
      <c r="G25" s="307">
        <v>1.749</v>
      </c>
      <c r="H25" s="79">
        <v>0.142</v>
      </c>
      <c r="I25" s="79">
        <v>0</v>
      </c>
      <c r="J25" s="79">
        <v>0.098</v>
      </c>
      <c r="K25" s="79">
        <v>0.123</v>
      </c>
      <c r="L25" s="79">
        <v>0.226</v>
      </c>
      <c r="M25" s="79">
        <v>0.226</v>
      </c>
      <c r="N25" s="79">
        <v>0.399</v>
      </c>
      <c r="O25" s="79">
        <v>0.34</v>
      </c>
      <c r="P25" s="79">
        <v>0.285</v>
      </c>
      <c r="Q25" s="79">
        <v>0.266</v>
      </c>
      <c r="R25" s="79">
        <v>0.278</v>
      </c>
      <c r="S25" s="79">
        <v>0.39</v>
      </c>
      <c r="T25" s="150">
        <f t="shared" si="8"/>
        <v>2.105</v>
      </c>
      <c r="U25" s="80"/>
      <c r="V25" s="223"/>
      <c r="W25" s="29"/>
      <c r="X25" s="29"/>
      <c r="Y25" s="29"/>
      <c r="Z25" s="29"/>
      <c r="AA25" s="29"/>
      <c r="AB25" s="29"/>
      <c r="AC25" s="30"/>
      <c r="AD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1:48" ht="12.75">
      <c r="A26" s="26" t="s">
        <v>255</v>
      </c>
      <c r="B26" s="294" t="s">
        <v>350</v>
      </c>
      <c r="C26" s="175" t="s">
        <v>14</v>
      </c>
      <c r="D26" s="179">
        <v>0.11</v>
      </c>
      <c r="E26" s="240"/>
      <c r="F26" s="240"/>
      <c r="G26" s="307">
        <v>0.019</v>
      </c>
      <c r="H26" s="79">
        <v>0.003</v>
      </c>
      <c r="I26" s="79"/>
      <c r="J26" s="79">
        <v>0.002</v>
      </c>
      <c r="K26" s="79">
        <v>0.002</v>
      </c>
      <c r="L26" s="79">
        <v>0.002</v>
      </c>
      <c r="M26" s="79">
        <v>0.003</v>
      </c>
      <c r="N26" s="79">
        <v>0.022</v>
      </c>
      <c r="O26" s="79">
        <v>0.007</v>
      </c>
      <c r="P26" s="79">
        <v>0.007</v>
      </c>
      <c r="Q26" s="79">
        <v>0.007</v>
      </c>
      <c r="R26" s="79">
        <v>0.036</v>
      </c>
      <c r="S26" s="79">
        <v>0.038</v>
      </c>
      <c r="T26" s="150">
        <f t="shared" si="8"/>
        <v>0.055</v>
      </c>
      <c r="U26" s="80"/>
      <c r="V26" s="223"/>
      <c r="W26" s="29"/>
      <c r="X26" s="29"/>
      <c r="Y26" s="29"/>
      <c r="Z26" s="29"/>
      <c r="AA26" s="29"/>
      <c r="AB26" s="29"/>
      <c r="AC26" s="30"/>
      <c r="AD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1:48" ht="12.75">
      <c r="A27" s="26" t="s">
        <v>267</v>
      </c>
      <c r="B27" s="294" t="s">
        <v>350</v>
      </c>
      <c r="C27" s="175" t="s">
        <v>7</v>
      </c>
      <c r="D27" s="179">
        <v>1.149</v>
      </c>
      <c r="E27" s="240"/>
      <c r="F27" s="240"/>
      <c r="G27" s="307">
        <v>0.982</v>
      </c>
      <c r="H27" s="79">
        <v>0.168</v>
      </c>
      <c r="I27" s="79">
        <v>0</v>
      </c>
      <c r="J27" s="79">
        <v>0.025</v>
      </c>
      <c r="K27" s="79">
        <v>0.148</v>
      </c>
      <c r="L27" s="79">
        <v>0.205</v>
      </c>
      <c r="M27" s="79">
        <v>0.082</v>
      </c>
      <c r="N27" s="79">
        <v>0.039</v>
      </c>
      <c r="O27" s="79">
        <v>0.096</v>
      </c>
      <c r="P27" s="79">
        <v>0.081</v>
      </c>
      <c r="Q27" s="79">
        <v>0.076</v>
      </c>
      <c r="R27" s="79">
        <v>0.087</v>
      </c>
      <c r="S27" s="79">
        <v>0.167</v>
      </c>
      <c r="T27" s="150">
        <f t="shared" si="8"/>
        <v>0.9199999999999998</v>
      </c>
      <c r="U27" s="80"/>
      <c r="V27" s="223"/>
      <c r="W27" s="29"/>
      <c r="X27" s="29"/>
      <c r="Y27" s="29"/>
      <c r="Z27" s="29"/>
      <c r="AA27" s="29"/>
      <c r="AB27" s="29"/>
      <c r="AC27" s="30"/>
      <c r="AD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1:48" ht="12.75">
      <c r="A28" s="26" t="s">
        <v>256</v>
      </c>
      <c r="B28" s="294" t="s">
        <v>350</v>
      </c>
      <c r="C28" s="175" t="s">
        <v>8</v>
      </c>
      <c r="D28" s="179">
        <v>0.131</v>
      </c>
      <c r="E28" s="240"/>
      <c r="F28" s="240"/>
      <c r="G28" s="307">
        <v>0.125</v>
      </c>
      <c r="H28" s="79">
        <v>0.004</v>
      </c>
      <c r="I28" s="79"/>
      <c r="J28" s="79">
        <v>0.003</v>
      </c>
      <c r="K28" s="79">
        <v>0.106</v>
      </c>
      <c r="L28" s="79">
        <v>0.005</v>
      </c>
      <c r="M28" s="79">
        <v>0.001</v>
      </c>
      <c r="N28" s="79">
        <v>0.035</v>
      </c>
      <c r="O28" s="79">
        <v>0.003</v>
      </c>
      <c r="P28" s="79">
        <v>0</v>
      </c>
      <c r="Q28" s="79">
        <v>0</v>
      </c>
      <c r="R28" s="79">
        <v>0</v>
      </c>
      <c r="S28" s="79">
        <v>0.065</v>
      </c>
      <c r="T28" s="150">
        <f t="shared" si="8"/>
        <v>0.15700000000000003</v>
      </c>
      <c r="U28" s="80"/>
      <c r="V28" s="223"/>
      <c r="W28" s="29"/>
      <c r="X28" s="29"/>
      <c r="Y28" s="29"/>
      <c r="Z28" s="29"/>
      <c r="AA28" s="29"/>
      <c r="AB28" s="29"/>
      <c r="AC28" s="30"/>
      <c r="AD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1:48" ht="12.75">
      <c r="A29" s="26" t="s">
        <v>9</v>
      </c>
      <c r="B29" s="294" t="s">
        <v>350</v>
      </c>
      <c r="C29" s="175" t="s">
        <v>10</v>
      </c>
      <c r="D29" s="179">
        <v>0.71</v>
      </c>
      <c r="E29" s="240"/>
      <c r="F29" s="240"/>
      <c r="G29" s="307">
        <v>0.283</v>
      </c>
      <c r="H29" s="79">
        <v>0.067</v>
      </c>
      <c r="I29" s="79">
        <v>0</v>
      </c>
      <c r="J29" s="79">
        <v>0.029</v>
      </c>
      <c r="K29" s="79">
        <v>0.112</v>
      </c>
      <c r="L29" s="79">
        <v>-0.039</v>
      </c>
      <c r="M29" s="79">
        <v>0.021</v>
      </c>
      <c r="N29" s="79">
        <v>0.042</v>
      </c>
      <c r="O29" s="79">
        <v>0.07</v>
      </c>
      <c r="P29" s="79">
        <v>0.077</v>
      </c>
      <c r="Q29" s="79">
        <v>0.12</v>
      </c>
      <c r="R29" s="79">
        <v>0.15</v>
      </c>
      <c r="S29" s="79">
        <v>0.143</v>
      </c>
      <c r="T29" s="150">
        <f t="shared" si="8"/>
        <v>0.49900000000000005</v>
      </c>
      <c r="U29" s="80"/>
      <c r="V29" s="223"/>
      <c r="W29" s="29"/>
      <c r="X29" s="29"/>
      <c r="Y29" s="29"/>
      <c r="Z29" s="29"/>
      <c r="AA29" s="29"/>
      <c r="AB29" s="29"/>
      <c r="AC29" s="30"/>
      <c r="AD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1:48" ht="13.5" customHeight="1">
      <c r="A30" s="26" t="s">
        <v>11</v>
      </c>
      <c r="B30" s="294" t="s">
        <v>350</v>
      </c>
      <c r="C30" s="141" t="s">
        <v>12</v>
      </c>
      <c r="D30" s="19">
        <v>0.156</v>
      </c>
      <c r="E30" s="288"/>
      <c r="F30" s="288"/>
      <c r="G30" s="166">
        <v>0.042</v>
      </c>
      <c r="H30" s="26">
        <v>0.007</v>
      </c>
      <c r="I30" s="26">
        <v>0</v>
      </c>
      <c r="J30" s="26">
        <v>0.003</v>
      </c>
      <c r="K30" s="26">
        <v>0.027</v>
      </c>
      <c r="L30" s="26">
        <v>-0.001</v>
      </c>
      <c r="M30" s="26">
        <v>0</v>
      </c>
      <c r="N30" s="26">
        <v>0.002</v>
      </c>
      <c r="O30" s="26">
        <v>0</v>
      </c>
      <c r="P30" s="26">
        <v>0.003</v>
      </c>
      <c r="Q30" s="26">
        <v>0.01</v>
      </c>
      <c r="R30" s="26">
        <v>0</v>
      </c>
      <c r="S30" s="35">
        <v>0.101</v>
      </c>
      <c r="T30" s="150">
        <f t="shared" si="8"/>
        <v>0.051000000000000004</v>
      </c>
      <c r="U30" s="80"/>
      <c r="V30" s="223"/>
      <c r="W30" s="29"/>
      <c r="X30" s="29"/>
      <c r="Y30" s="29"/>
      <c r="Z30" s="29"/>
      <c r="AA30" s="29"/>
      <c r="AB30" s="29"/>
      <c r="AC30" s="30"/>
      <c r="AD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1:49" ht="13.5" thickBot="1">
      <c r="A31" s="26" t="s">
        <v>13</v>
      </c>
      <c r="B31" s="294" t="s">
        <v>350</v>
      </c>
      <c r="C31" s="19" t="s">
        <v>692</v>
      </c>
      <c r="D31" s="35">
        <v>-0.245</v>
      </c>
      <c r="E31" s="238"/>
      <c r="F31" s="238"/>
      <c r="G31" s="166"/>
      <c r="H31" s="44"/>
      <c r="S31" s="6">
        <v>0.231</v>
      </c>
      <c r="T31" s="150">
        <f t="shared" si="8"/>
        <v>0</v>
      </c>
      <c r="U31" s="151"/>
      <c r="V31" s="223"/>
      <c r="W31" s="29">
        <f>2</f>
        <v>2</v>
      </c>
      <c r="X31" s="29"/>
      <c r="Y31" s="29"/>
      <c r="Z31" s="29">
        <v>1</v>
      </c>
      <c r="AA31" s="29"/>
      <c r="AB31" s="29">
        <f>AV31</f>
        <v>16.887</v>
      </c>
      <c r="AC31" s="30"/>
      <c r="AD31" s="30">
        <f>SUM(W31:AC31)</f>
        <v>19.887</v>
      </c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>
        <v>0.04</v>
      </c>
      <c r="AQ31" s="30"/>
      <c r="AR31" s="30"/>
      <c r="AS31" s="30"/>
      <c r="AT31" s="30"/>
      <c r="AU31" s="30">
        <f>16+0.3+0.547</f>
        <v>16.847</v>
      </c>
      <c r="AV31" s="30">
        <f>SUM(AF31:AU31)</f>
        <v>16.887</v>
      </c>
      <c r="AW31" s="26" t="s">
        <v>422</v>
      </c>
    </row>
    <row r="32" spans="3:48" ht="12.75">
      <c r="C32" s="7" t="s">
        <v>175</v>
      </c>
      <c r="D32" s="93">
        <f>SUM(D20:D31)</f>
        <v>19.886999999999997</v>
      </c>
      <c r="E32" s="128"/>
      <c r="F32" s="241"/>
      <c r="G32" s="308">
        <f aca="true" t="shared" si="9" ref="G32:T32">SUM(G20:G31)</f>
        <v>14.650999999999998</v>
      </c>
      <c r="H32" s="109">
        <f t="shared" si="9"/>
        <v>1.142</v>
      </c>
      <c r="I32" s="109">
        <f t="shared" si="9"/>
        <v>0</v>
      </c>
      <c r="J32" s="109">
        <f t="shared" si="9"/>
        <v>1.1149999999999995</v>
      </c>
      <c r="K32" s="109">
        <f t="shared" si="9"/>
        <v>3.0370000000000004</v>
      </c>
      <c r="L32" s="109">
        <f t="shared" si="9"/>
        <v>1.9250000000000003</v>
      </c>
      <c r="M32" s="109">
        <f t="shared" si="9"/>
        <v>1.6109999999999998</v>
      </c>
      <c r="N32" s="109">
        <f t="shared" si="9"/>
        <v>2.0909999999999997</v>
      </c>
      <c r="O32" s="109">
        <f t="shared" si="9"/>
        <v>1.907</v>
      </c>
      <c r="P32" s="109">
        <f t="shared" si="9"/>
        <v>1.8699999999999997</v>
      </c>
      <c r="Q32" s="109">
        <f t="shared" si="9"/>
        <v>1.4200000000000002</v>
      </c>
      <c r="R32" s="109">
        <f t="shared" si="9"/>
        <v>1.768</v>
      </c>
      <c r="S32" s="109">
        <f t="shared" si="9"/>
        <v>2.001</v>
      </c>
      <c r="T32" s="13">
        <f t="shared" si="9"/>
        <v>16.118</v>
      </c>
      <c r="U32" s="45"/>
      <c r="V32" s="223"/>
      <c r="W32" s="13">
        <f>SUM(W20:W31)</f>
        <v>2</v>
      </c>
      <c r="X32" s="13">
        <f aca="true" t="shared" si="10" ref="X32:AV32">SUM(X20:X31)</f>
        <v>0</v>
      </c>
      <c r="Y32" s="13">
        <f t="shared" si="10"/>
        <v>0</v>
      </c>
      <c r="Z32" s="13">
        <f t="shared" si="10"/>
        <v>1</v>
      </c>
      <c r="AA32" s="13">
        <f t="shared" si="10"/>
        <v>0</v>
      </c>
      <c r="AB32" s="13">
        <f t="shared" si="10"/>
        <v>16.887</v>
      </c>
      <c r="AC32" s="13">
        <f t="shared" si="10"/>
        <v>0</v>
      </c>
      <c r="AD32" s="13">
        <f t="shared" si="10"/>
        <v>19.887</v>
      </c>
      <c r="AE32" s="13">
        <f t="shared" si="10"/>
        <v>0</v>
      </c>
      <c r="AF32" s="13">
        <f t="shared" si="10"/>
        <v>0</v>
      </c>
      <c r="AG32" s="13">
        <f t="shared" si="10"/>
        <v>0</v>
      </c>
      <c r="AH32" s="13">
        <f t="shared" si="10"/>
        <v>0</v>
      </c>
      <c r="AI32" s="13">
        <f t="shared" si="10"/>
        <v>0</v>
      </c>
      <c r="AJ32" s="13">
        <f t="shared" si="10"/>
        <v>0</v>
      </c>
      <c r="AK32" s="13">
        <f t="shared" si="10"/>
        <v>0</v>
      </c>
      <c r="AL32" s="13">
        <f t="shared" si="10"/>
        <v>0</v>
      </c>
      <c r="AM32" s="13">
        <f t="shared" si="10"/>
        <v>0</v>
      </c>
      <c r="AN32" s="13">
        <f t="shared" si="10"/>
        <v>0</v>
      </c>
      <c r="AO32" s="13">
        <f t="shared" si="10"/>
        <v>0</v>
      </c>
      <c r="AP32" s="13">
        <f t="shared" si="10"/>
        <v>0.04</v>
      </c>
      <c r="AQ32" s="13">
        <f t="shared" si="10"/>
        <v>0</v>
      </c>
      <c r="AR32" s="13">
        <f t="shared" si="10"/>
        <v>0</v>
      </c>
      <c r="AS32" s="13">
        <f t="shared" si="10"/>
        <v>0</v>
      </c>
      <c r="AT32" s="13">
        <f t="shared" si="10"/>
        <v>0</v>
      </c>
      <c r="AU32" s="13">
        <f t="shared" si="10"/>
        <v>16.847</v>
      </c>
      <c r="AV32" s="13">
        <f t="shared" si="10"/>
        <v>16.887</v>
      </c>
    </row>
    <row r="33" spans="3:48" ht="13.5" thickBot="1">
      <c r="C33" s="5"/>
      <c r="D33" s="84"/>
      <c r="E33" s="235"/>
      <c r="F33" s="237"/>
      <c r="G33" s="309"/>
      <c r="H33" s="8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56"/>
      <c r="U33" s="81"/>
      <c r="V33" s="223"/>
      <c r="W33" s="29"/>
      <c r="X33" s="29"/>
      <c r="Y33" s="29"/>
      <c r="Z33" s="29"/>
      <c r="AA33" s="29"/>
      <c r="AB33" s="29"/>
      <c r="AC33" s="30"/>
      <c r="AD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3:48" ht="13.5" thickBot="1">
      <c r="C34" s="7" t="s">
        <v>245</v>
      </c>
      <c r="D34" s="43">
        <f>D16+D32</f>
        <v>53.215</v>
      </c>
      <c r="E34" s="242"/>
      <c r="F34" s="243"/>
      <c r="G34" s="310">
        <f aca="true" t="shared" si="11" ref="G34:T34">G16+G32</f>
        <v>36.28699999999999</v>
      </c>
      <c r="H34" s="86">
        <f t="shared" si="11"/>
        <v>3.9193333333333333</v>
      </c>
      <c r="I34" s="21">
        <f t="shared" si="11"/>
        <v>2.7773333333333334</v>
      </c>
      <c r="J34" s="21">
        <f t="shared" si="11"/>
        <v>3.892333333333333</v>
      </c>
      <c r="K34" s="21">
        <f t="shared" si="11"/>
        <v>5.814333333333334</v>
      </c>
      <c r="L34" s="21">
        <f t="shared" si="11"/>
        <v>4.702333333333334</v>
      </c>
      <c r="M34" s="21">
        <f t="shared" si="11"/>
        <v>4.388333333333334</v>
      </c>
      <c r="N34" s="21">
        <f t="shared" si="11"/>
        <v>4.868333333333333</v>
      </c>
      <c r="O34" s="21">
        <f t="shared" si="11"/>
        <v>4.684333333333333</v>
      </c>
      <c r="P34" s="21">
        <f t="shared" si="11"/>
        <v>4.647333333333333</v>
      </c>
      <c r="Q34" s="21">
        <f t="shared" si="11"/>
        <v>4.197333333333334</v>
      </c>
      <c r="R34" s="21">
        <f t="shared" si="11"/>
        <v>4.545333333333334</v>
      </c>
      <c r="S34" s="21">
        <f t="shared" si="11"/>
        <v>4.778333333333333</v>
      </c>
      <c r="T34" s="18">
        <f t="shared" si="11"/>
        <v>43.891333333333336</v>
      </c>
      <c r="U34" s="45"/>
      <c r="V34" s="223"/>
      <c r="W34" s="23">
        <f aca="true" t="shared" si="12" ref="W34:AD34">W32+W16</f>
        <v>5.481</v>
      </c>
      <c r="X34" s="23">
        <f t="shared" si="12"/>
        <v>0</v>
      </c>
      <c r="Y34" s="23">
        <f t="shared" si="12"/>
        <v>0</v>
      </c>
      <c r="Z34" s="23">
        <f t="shared" si="12"/>
        <v>1</v>
      </c>
      <c r="AA34" s="23">
        <f t="shared" si="12"/>
        <v>7.129</v>
      </c>
      <c r="AB34" s="23">
        <f t="shared" si="12"/>
        <v>39.593</v>
      </c>
      <c r="AC34" s="23">
        <f t="shared" si="12"/>
        <v>0.012</v>
      </c>
      <c r="AD34" s="23">
        <f t="shared" si="12"/>
        <v>53.215</v>
      </c>
      <c r="AF34" s="32">
        <f aca="true" t="shared" si="13" ref="AF34:AV34">AF32+AF16</f>
        <v>0</v>
      </c>
      <c r="AG34" s="32">
        <f t="shared" si="13"/>
        <v>0</v>
      </c>
      <c r="AH34" s="32">
        <f t="shared" si="13"/>
        <v>0</v>
      </c>
      <c r="AI34" s="32">
        <f t="shared" si="13"/>
        <v>0</v>
      </c>
      <c r="AJ34" s="32">
        <f t="shared" si="13"/>
        <v>0</v>
      </c>
      <c r="AK34" s="32">
        <f t="shared" si="13"/>
        <v>0</v>
      </c>
      <c r="AL34" s="32">
        <f t="shared" si="13"/>
        <v>0</v>
      </c>
      <c r="AM34" s="32">
        <f t="shared" si="13"/>
        <v>0.7839999999999999</v>
      </c>
      <c r="AN34" s="32">
        <f t="shared" si="13"/>
        <v>1.5730000000000002</v>
      </c>
      <c r="AO34" s="32">
        <f t="shared" si="13"/>
        <v>0.579</v>
      </c>
      <c r="AP34" s="32">
        <f t="shared" si="13"/>
        <v>1.59</v>
      </c>
      <c r="AQ34" s="32">
        <f t="shared" si="13"/>
        <v>0</v>
      </c>
      <c r="AR34" s="32">
        <f t="shared" si="13"/>
        <v>0</v>
      </c>
      <c r="AS34" s="32">
        <f t="shared" si="13"/>
        <v>18.22</v>
      </c>
      <c r="AT34" s="32">
        <f t="shared" si="13"/>
        <v>0</v>
      </c>
      <c r="AU34" s="32">
        <f t="shared" si="13"/>
        <v>16.847</v>
      </c>
      <c r="AV34" s="32">
        <f t="shared" si="13"/>
        <v>39.593</v>
      </c>
    </row>
    <row r="35" spans="3:48" ht="12.75">
      <c r="C35" s="5"/>
      <c r="D35" s="84"/>
      <c r="E35" s="235"/>
      <c r="G35" s="309"/>
      <c r="H35" s="8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85"/>
      <c r="T35" s="85"/>
      <c r="U35" s="12"/>
      <c r="V35" s="223"/>
      <c r="W35" s="29"/>
      <c r="X35" s="29"/>
      <c r="Y35" s="29"/>
      <c r="Z35" s="29"/>
      <c r="AA35" s="29"/>
      <c r="AB35" s="29"/>
      <c r="AC35" s="30"/>
      <c r="AD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3:48" ht="12.75">
      <c r="C36" s="7" t="s">
        <v>87</v>
      </c>
      <c r="D36" s="5"/>
      <c r="E36" s="235"/>
      <c r="G36" s="309"/>
      <c r="H36" s="8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85"/>
      <c r="T36" s="9"/>
      <c r="U36" s="81"/>
      <c r="V36" s="223"/>
      <c r="W36" s="29"/>
      <c r="X36" s="29"/>
      <c r="Y36" s="29"/>
      <c r="Z36" s="29"/>
      <c r="AA36" s="29"/>
      <c r="AB36" s="29"/>
      <c r="AC36" s="30"/>
      <c r="AD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2.75">
      <c r="B37" s="20"/>
      <c r="C37" s="44" t="s">
        <v>402</v>
      </c>
      <c r="D37" s="166">
        <v>0.022</v>
      </c>
      <c r="E37" s="261" t="s">
        <v>68</v>
      </c>
      <c r="F37" s="263" t="s">
        <v>69</v>
      </c>
      <c r="G37" s="265"/>
      <c r="H37" s="171">
        <v>0.004</v>
      </c>
      <c r="I37" s="168">
        <v>0.004</v>
      </c>
      <c r="J37" s="168">
        <v>0.005</v>
      </c>
      <c r="K37" s="168">
        <v>0.005</v>
      </c>
      <c r="L37" s="168">
        <v>0.004</v>
      </c>
      <c r="M37" s="168"/>
      <c r="N37" s="168"/>
      <c r="O37" s="189"/>
      <c r="P37" s="189"/>
      <c r="Q37" s="189"/>
      <c r="R37" s="189"/>
      <c r="S37" s="266"/>
      <c r="T37" s="150">
        <f>SUM(H37:Q37)</f>
        <v>0.022000000000000002</v>
      </c>
      <c r="U37" s="151"/>
      <c r="V37" s="223"/>
      <c r="W37" s="29"/>
      <c r="X37" s="29"/>
      <c r="Y37" s="29"/>
      <c r="Z37" s="29"/>
      <c r="AB37" s="29">
        <f aca="true" t="shared" si="14" ref="AB37:AB51">SUM(AF37:AU37)</f>
        <v>0.022</v>
      </c>
      <c r="AC37" s="30"/>
      <c r="AD37" s="30">
        <f aca="true" t="shared" si="15" ref="AD37:AD53">SUM(W37:AC37)</f>
        <v>0.022</v>
      </c>
      <c r="AF37" s="30"/>
      <c r="AG37" s="30"/>
      <c r="AH37" s="30">
        <v>0.022</v>
      </c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>
        <f aca="true" t="shared" si="16" ref="AV37:AV51">SUM(AF37:AU37)</f>
        <v>0.022</v>
      </c>
    </row>
    <row r="38" spans="1:48" ht="12.75">
      <c r="A38" s="20"/>
      <c r="B38" s="20" t="s">
        <v>635</v>
      </c>
      <c r="C38" s="44" t="s">
        <v>232</v>
      </c>
      <c r="D38" s="166">
        <f>0.087+0.094</f>
        <v>0.181</v>
      </c>
      <c r="E38" s="261" t="s">
        <v>68</v>
      </c>
      <c r="F38" s="263" t="s">
        <v>69</v>
      </c>
      <c r="G38" s="265"/>
      <c r="H38" s="171"/>
      <c r="I38" s="168"/>
      <c r="J38" s="168"/>
      <c r="K38" s="168"/>
      <c r="L38" s="163"/>
      <c r="M38" s="168"/>
      <c r="N38" s="168"/>
      <c r="O38" s="189"/>
      <c r="P38" s="189"/>
      <c r="Q38" s="189"/>
      <c r="R38" s="189"/>
      <c r="S38" s="266">
        <v>0.181</v>
      </c>
      <c r="T38" s="150">
        <f aca="true" t="shared" si="17" ref="T38:T68">SUM(H38:Q38)</f>
        <v>0</v>
      </c>
      <c r="U38" s="151"/>
      <c r="V38" s="223"/>
      <c r="W38" s="29"/>
      <c r="X38" s="29"/>
      <c r="Y38" s="29"/>
      <c r="Z38" s="29"/>
      <c r="AA38" s="6">
        <f>0.087+0.094</f>
        <v>0.181</v>
      </c>
      <c r="AB38" s="29">
        <f t="shared" si="14"/>
        <v>0</v>
      </c>
      <c r="AC38" s="30"/>
      <c r="AD38" s="30">
        <f t="shared" si="15"/>
        <v>0.181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>
        <f t="shared" si="16"/>
        <v>0</v>
      </c>
    </row>
    <row r="39" spans="1:48" ht="12.75">
      <c r="A39" s="20"/>
      <c r="B39" s="20" t="s">
        <v>636</v>
      </c>
      <c r="C39" s="44" t="s">
        <v>233</v>
      </c>
      <c r="D39" s="166">
        <v>2.128</v>
      </c>
      <c r="E39" s="261" t="s">
        <v>68</v>
      </c>
      <c r="F39" s="263" t="s">
        <v>69</v>
      </c>
      <c r="G39" s="265">
        <v>1.695</v>
      </c>
      <c r="H39" s="171">
        <v>0.177</v>
      </c>
      <c r="I39" s="168">
        <v>0.178</v>
      </c>
      <c r="J39" s="168">
        <v>0.177</v>
      </c>
      <c r="K39" s="168">
        <v>0.178</v>
      </c>
      <c r="L39" s="168">
        <v>0.177</v>
      </c>
      <c r="M39" s="168">
        <v>0.177</v>
      </c>
      <c r="N39" s="168">
        <v>0.177</v>
      </c>
      <c r="O39" s="168">
        <v>0.177</v>
      </c>
      <c r="P39" s="168">
        <v>0.177</v>
      </c>
      <c r="Q39" s="168">
        <v>0.177</v>
      </c>
      <c r="R39" s="168">
        <v>0.178</v>
      </c>
      <c r="S39" s="265">
        <v>0.178</v>
      </c>
      <c r="T39" s="150">
        <f t="shared" si="17"/>
        <v>1.7720000000000002</v>
      </c>
      <c r="U39" s="151"/>
      <c r="V39" s="223"/>
      <c r="W39" s="29"/>
      <c r="X39" s="29"/>
      <c r="Y39" s="29"/>
      <c r="Z39" s="29"/>
      <c r="AB39" s="29">
        <f t="shared" si="14"/>
        <v>2.128</v>
      </c>
      <c r="AC39" s="30"/>
      <c r="AD39" s="30">
        <f t="shared" si="15"/>
        <v>2.128</v>
      </c>
      <c r="AF39" s="30"/>
      <c r="AG39" s="30"/>
      <c r="AH39" s="30"/>
      <c r="AI39" s="30"/>
      <c r="AJ39" s="30"/>
      <c r="AK39" s="30">
        <v>2.128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>
        <f t="shared" si="16"/>
        <v>2.128</v>
      </c>
    </row>
    <row r="40" spans="1:48" ht="12.75">
      <c r="A40" s="20"/>
      <c r="B40" s="20" t="s">
        <v>637</v>
      </c>
      <c r="C40" s="44" t="s">
        <v>231</v>
      </c>
      <c r="D40" s="166">
        <f>2.288-0.3</f>
        <v>1.9879999999999998</v>
      </c>
      <c r="E40" s="261" t="s">
        <v>68</v>
      </c>
      <c r="F40" s="263" t="s">
        <v>70</v>
      </c>
      <c r="G40" s="265">
        <f>0.048+0.003+0.152+0.03+1.368</f>
        <v>1.6010000000000002</v>
      </c>
      <c r="H40" s="171">
        <v>0.02</v>
      </c>
      <c r="I40" s="168">
        <v>0.02</v>
      </c>
      <c r="J40" s="168">
        <v>0.02</v>
      </c>
      <c r="K40" s="168">
        <v>0.023</v>
      </c>
      <c r="L40" s="168">
        <v>1.008</v>
      </c>
      <c r="M40" s="168">
        <v>0.381</v>
      </c>
      <c r="N40" s="168">
        <v>0.381</v>
      </c>
      <c r="O40" s="168"/>
      <c r="P40" s="168">
        <v>0.081</v>
      </c>
      <c r="Q40" s="168"/>
      <c r="R40" s="168"/>
      <c r="S40" s="168">
        <v>0.054</v>
      </c>
      <c r="T40" s="150">
        <f t="shared" si="17"/>
        <v>1.934</v>
      </c>
      <c r="U40" s="151"/>
      <c r="V40" s="223"/>
      <c r="W40" s="29"/>
      <c r="X40" s="29"/>
      <c r="Y40" s="29"/>
      <c r="Z40" s="29"/>
      <c r="AA40" s="6">
        <f>0.695-0.3</f>
        <v>0.39499999999999996</v>
      </c>
      <c r="AB40" s="29">
        <f t="shared" si="14"/>
        <v>1.593</v>
      </c>
      <c r="AC40" s="30"/>
      <c r="AD40" s="30">
        <f t="shared" si="15"/>
        <v>1.988</v>
      </c>
      <c r="AF40" s="30"/>
      <c r="AG40" s="30"/>
      <c r="AH40" s="30">
        <f>1.091+0.502</f>
        <v>1.593</v>
      </c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>
        <f t="shared" si="16"/>
        <v>1.593</v>
      </c>
    </row>
    <row r="41" spans="1:48" ht="12.75">
      <c r="A41" s="20"/>
      <c r="B41" s="20" t="s">
        <v>638</v>
      </c>
      <c r="C41" s="44" t="s">
        <v>405</v>
      </c>
      <c r="D41" s="166">
        <v>0.001</v>
      </c>
      <c r="E41" s="261" t="s">
        <v>68</v>
      </c>
      <c r="F41" s="263" t="s">
        <v>69</v>
      </c>
      <c r="G41" s="265"/>
      <c r="H41" s="171"/>
      <c r="I41" s="168"/>
      <c r="J41" s="168"/>
      <c r="K41" s="168"/>
      <c r="L41" s="168"/>
      <c r="M41" s="168"/>
      <c r="N41" s="168"/>
      <c r="O41" s="189"/>
      <c r="P41" s="189"/>
      <c r="Q41" s="189"/>
      <c r="R41" s="189"/>
      <c r="S41" s="266">
        <v>0.001</v>
      </c>
      <c r="T41" s="150">
        <f t="shared" si="17"/>
        <v>0</v>
      </c>
      <c r="U41" s="151"/>
      <c r="V41" s="223"/>
      <c r="W41" s="29"/>
      <c r="X41" s="29"/>
      <c r="Y41" s="29"/>
      <c r="Z41" s="29"/>
      <c r="AA41" s="6">
        <v>0.001</v>
      </c>
      <c r="AB41" s="29">
        <f t="shared" si="14"/>
        <v>0</v>
      </c>
      <c r="AC41" s="30"/>
      <c r="AD41" s="30">
        <f t="shared" si="15"/>
        <v>0.001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f t="shared" si="16"/>
        <v>0</v>
      </c>
    </row>
    <row r="42" spans="1:48" ht="12.75">
      <c r="A42" s="20"/>
      <c r="B42" s="20" t="s">
        <v>263</v>
      </c>
      <c r="C42" s="44" t="s">
        <v>235</v>
      </c>
      <c r="D42" s="166">
        <f>0.005+0.018</f>
        <v>0.023</v>
      </c>
      <c r="E42" s="262"/>
      <c r="F42" s="263"/>
      <c r="G42" s="265">
        <v>0.021</v>
      </c>
      <c r="H42" s="171"/>
      <c r="I42" s="168"/>
      <c r="J42" s="168"/>
      <c r="K42" s="168"/>
      <c r="L42" s="168">
        <v>0.02</v>
      </c>
      <c r="M42" s="168"/>
      <c r="N42" s="168"/>
      <c r="O42" s="168">
        <v>0.003</v>
      </c>
      <c r="P42" s="168"/>
      <c r="Q42" s="168"/>
      <c r="R42" s="168"/>
      <c r="S42" s="265"/>
      <c r="T42" s="150">
        <f t="shared" si="17"/>
        <v>0.023</v>
      </c>
      <c r="U42" s="151"/>
      <c r="V42" s="223"/>
      <c r="W42" s="29"/>
      <c r="X42" s="29"/>
      <c r="Y42" s="29"/>
      <c r="Z42" s="29"/>
      <c r="AA42" s="6">
        <v>0.018</v>
      </c>
      <c r="AB42" s="29">
        <f t="shared" si="14"/>
        <v>0.005</v>
      </c>
      <c r="AC42" s="30"/>
      <c r="AD42" s="30">
        <f t="shared" si="15"/>
        <v>0.023</v>
      </c>
      <c r="AF42" s="30"/>
      <c r="AG42" s="30"/>
      <c r="AH42" s="30"/>
      <c r="AI42" s="30"/>
      <c r="AJ42" s="30"/>
      <c r="AK42" s="30">
        <v>0.005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>
        <f t="shared" si="16"/>
        <v>0.005</v>
      </c>
    </row>
    <row r="43" spans="1:49" ht="12.75">
      <c r="A43" s="20"/>
      <c r="B43" s="20" t="s">
        <v>634</v>
      </c>
      <c r="C43" s="44" t="s">
        <v>338</v>
      </c>
      <c r="D43" s="166">
        <f>3.209-0.1</f>
        <v>3.109</v>
      </c>
      <c r="E43" s="262" t="s">
        <v>71</v>
      </c>
      <c r="F43" s="263" t="s">
        <v>72</v>
      </c>
      <c r="G43" s="265">
        <f>3.028-0.288</f>
        <v>2.74</v>
      </c>
      <c r="H43" s="171">
        <v>0.02</v>
      </c>
      <c r="I43" s="168">
        <v>0.02</v>
      </c>
      <c r="J43" s="168">
        <v>0.02</v>
      </c>
      <c r="K43" s="168">
        <v>0.02</v>
      </c>
      <c r="L43" s="168">
        <v>0.023</v>
      </c>
      <c r="M43" s="168">
        <v>0.527</v>
      </c>
      <c r="N43" s="168">
        <v>0.527</v>
      </c>
      <c r="O43" s="168">
        <v>0.432</v>
      </c>
      <c r="P43" s="168">
        <v>0.201</v>
      </c>
      <c r="Q43" s="168">
        <v>0.484</v>
      </c>
      <c r="R43" s="168">
        <v>0.352</v>
      </c>
      <c r="S43" s="168">
        <v>0.483</v>
      </c>
      <c r="T43" s="150">
        <f t="shared" si="17"/>
        <v>2.274</v>
      </c>
      <c r="U43" s="151"/>
      <c r="V43" s="223"/>
      <c r="W43" s="29">
        <v>0.499</v>
      </c>
      <c r="X43" s="29"/>
      <c r="Y43" s="29"/>
      <c r="Z43" s="29"/>
      <c r="AA43" s="6">
        <f>1.728-0.1</f>
        <v>1.628</v>
      </c>
      <c r="AB43" s="29">
        <f t="shared" si="14"/>
        <v>0.982</v>
      </c>
      <c r="AC43" s="30"/>
      <c r="AD43" s="30">
        <f t="shared" si="15"/>
        <v>3.109</v>
      </c>
      <c r="AF43" s="30"/>
      <c r="AG43" s="30"/>
      <c r="AH43" s="30">
        <v>0.406</v>
      </c>
      <c r="AI43" s="30"/>
      <c r="AJ43" s="30"/>
      <c r="AK43" s="30">
        <v>0.473</v>
      </c>
      <c r="AL43" s="30">
        <v>0.103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>
        <f t="shared" si="16"/>
        <v>0.982</v>
      </c>
      <c r="AW43" s="26" t="s">
        <v>459</v>
      </c>
    </row>
    <row r="44" spans="1:48" ht="12.75">
      <c r="A44" s="20"/>
      <c r="B44" s="20" t="s">
        <v>651</v>
      </c>
      <c r="C44" s="44" t="s">
        <v>300</v>
      </c>
      <c r="D44" s="166">
        <v>0.435</v>
      </c>
      <c r="E44" s="261" t="s">
        <v>68</v>
      </c>
      <c r="F44" s="263" t="s">
        <v>69</v>
      </c>
      <c r="G44" s="265">
        <f>0.106+0.098</f>
        <v>0.20400000000000001</v>
      </c>
      <c r="H44" s="171">
        <v>0.014</v>
      </c>
      <c r="I44" s="168">
        <v>0.014</v>
      </c>
      <c r="J44" s="168">
        <v>0.014</v>
      </c>
      <c r="K44" s="168">
        <v>0.014</v>
      </c>
      <c r="L44" s="168">
        <v>0.015</v>
      </c>
      <c r="M44" s="168">
        <v>0.052</v>
      </c>
      <c r="N44" s="168">
        <v>0.052</v>
      </c>
      <c r="O44" s="168">
        <v>0.052</v>
      </c>
      <c r="P44" s="189">
        <v>0.052</v>
      </c>
      <c r="Q44" s="189">
        <v>0.052</v>
      </c>
      <c r="R44" s="189">
        <v>0.052</v>
      </c>
      <c r="S44" s="266">
        <v>0.052</v>
      </c>
      <c r="T44" s="150">
        <f t="shared" si="17"/>
        <v>0.33099999999999996</v>
      </c>
      <c r="U44" s="151"/>
      <c r="V44" s="223"/>
      <c r="W44" s="29">
        <v>0.323</v>
      </c>
      <c r="X44" s="29"/>
      <c r="Y44" s="29"/>
      <c r="Z44" s="29"/>
      <c r="AA44" s="6">
        <v>0.041</v>
      </c>
      <c r="AB44" s="29">
        <f t="shared" si="14"/>
        <v>0.071</v>
      </c>
      <c r="AC44" s="30"/>
      <c r="AD44" s="30">
        <f t="shared" si="15"/>
        <v>0.435</v>
      </c>
      <c r="AF44" s="30"/>
      <c r="AG44" s="30"/>
      <c r="AH44" s="30">
        <v>0.071</v>
      </c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>
        <f t="shared" si="16"/>
        <v>0.071</v>
      </c>
    </row>
    <row r="45" spans="2:48" ht="12.75">
      <c r="B45" s="26" t="s">
        <v>543</v>
      </c>
      <c r="C45" s="44" t="s">
        <v>230</v>
      </c>
      <c r="D45" s="166">
        <f>0.195+0.155</f>
        <v>0.35</v>
      </c>
      <c r="E45" s="262" t="s">
        <v>71</v>
      </c>
      <c r="F45" s="263" t="s">
        <v>73</v>
      </c>
      <c r="G45" s="265">
        <v>0.288</v>
      </c>
      <c r="H45" s="171">
        <v>0.014</v>
      </c>
      <c r="I45" s="168">
        <v>0.014</v>
      </c>
      <c r="J45" s="168">
        <v>0.014</v>
      </c>
      <c r="K45" s="168">
        <v>0.014</v>
      </c>
      <c r="L45" s="168">
        <v>0.012</v>
      </c>
      <c r="M45" s="168">
        <v>0.013</v>
      </c>
      <c r="N45" s="168">
        <v>0.013</v>
      </c>
      <c r="O45" s="168">
        <v>0.052</v>
      </c>
      <c r="P45" s="168">
        <v>0.051</v>
      </c>
      <c r="Q45" s="168">
        <v>0.051</v>
      </c>
      <c r="R45" s="168">
        <v>0.051</v>
      </c>
      <c r="S45" s="168">
        <v>0.051</v>
      </c>
      <c r="T45" s="150">
        <f t="shared" si="17"/>
        <v>0.24799999999999997</v>
      </c>
      <c r="U45" s="151"/>
      <c r="V45" s="223"/>
      <c r="W45" s="29"/>
      <c r="X45" s="29"/>
      <c r="Y45" s="29"/>
      <c r="Z45" s="29"/>
      <c r="AB45" s="29">
        <f t="shared" si="14"/>
        <v>0.35</v>
      </c>
      <c r="AC45" s="30"/>
      <c r="AD45" s="30">
        <f t="shared" si="15"/>
        <v>0.35</v>
      </c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>
        <f>0.195+0.155</f>
        <v>0.35</v>
      </c>
      <c r="AV45" s="30">
        <f t="shared" si="16"/>
        <v>0.35</v>
      </c>
    </row>
    <row r="46" spans="2:48" ht="12.75">
      <c r="B46" s="20" t="s">
        <v>480</v>
      </c>
      <c r="C46" s="44" t="s">
        <v>299</v>
      </c>
      <c r="D46" s="166">
        <v>0.206</v>
      </c>
      <c r="E46" s="262" t="s">
        <v>74</v>
      </c>
      <c r="F46" s="263" t="s">
        <v>69</v>
      </c>
      <c r="G46" s="265">
        <v>0.059</v>
      </c>
      <c r="H46" s="171">
        <v>0.025</v>
      </c>
      <c r="I46" s="168">
        <v>0.025</v>
      </c>
      <c r="J46" s="168">
        <v>0.025</v>
      </c>
      <c r="K46" s="168">
        <v>0.025</v>
      </c>
      <c r="L46" s="168">
        <v>0.025</v>
      </c>
      <c r="M46" s="168">
        <v>0.026</v>
      </c>
      <c r="N46" s="168">
        <v>0.026</v>
      </c>
      <c r="O46" s="168"/>
      <c r="P46" s="168"/>
      <c r="Q46" s="168"/>
      <c r="R46" s="168"/>
      <c r="S46" s="266">
        <v>0.029</v>
      </c>
      <c r="T46" s="150">
        <f t="shared" si="17"/>
        <v>0.177</v>
      </c>
      <c r="U46" s="151"/>
      <c r="V46" s="223"/>
      <c r="W46" s="29"/>
      <c r="X46" s="29"/>
      <c r="Y46" s="29"/>
      <c r="Z46" s="29"/>
      <c r="AA46" s="6">
        <v>0.206</v>
      </c>
      <c r="AB46" s="29">
        <f t="shared" si="14"/>
        <v>0</v>
      </c>
      <c r="AC46" s="30"/>
      <c r="AD46" s="30">
        <f t="shared" si="15"/>
        <v>0.206</v>
      </c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>
        <f t="shared" si="16"/>
        <v>0</v>
      </c>
    </row>
    <row r="47" spans="1:48" ht="12.75">
      <c r="A47" s="20"/>
      <c r="B47" s="20" t="s">
        <v>481</v>
      </c>
      <c r="C47" s="44" t="s">
        <v>234</v>
      </c>
      <c r="D47" s="166">
        <v>0.282</v>
      </c>
      <c r="E47" s="262" t="s">
        <v>75</v>
      </c>
      <c r="F47" s="263" t="s">
        <v>76</v>
      </c>
      <c r="G47" s="265">
        <v>0.225</v>
      </c>
      <c r="H47" s="171">
        <v>0.026</v>
      </c>
      <c r="I47" s="168">
        <v>0.026</v>
      </c>
      <c r="J47" s="168">
        <v>0.026</v>
      </c>
      <c r="K47" s="168">
        <v>0.026</v>
      </c>
      <c r="L47" s="168">
        <v>0.026</v>
      </c>
      <c r="M47" s="168">
        <v>0.027</v>
      </c>
      <c r="N47" s="168">
        <v>0.027</v>
      </c>
      <c r="O47" s="168">
        <v>0.007</v>
      </c>
      <c r="P47" s="168">
        <v>0.007</v>
      </c>
      <c r="Q47" s="168">
        <v>0.007</v>
      </c>
      <c r="R47" s="168">
        <v>0.007</v>
      </c>
      <c r="S47" s="265">
        <v>0.07</v>
      </c>
      <c r="T47" s="150">
        <f t="shared" si="17"/>
        <v>0.20500000000000002</v>
      </c>
      <c r="U47" s="151"/>
      <c r="V47" s="223"/>
      <c r="W47" s="29">
        <v>0.001</v>
      </c>
      <c r="X47" s="29"/>
      <c r="Y47" s="29"/>
      <c r="Z47" s="29"/>
      <c r="AA47" s="6">
        <v>0.281</v>
      </c>
      <c r="AB47" s="29">
        <f t="shared" si="14"/>
        <v>0</v>
      </c>
      <c r="AC47" s="30"/>
      <c r="AD47" s="30">
        <f t="shared" si="15"/>
        <v>0.28200000000000003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>
        <f t="shared" si="16"/>
        <v>0</v>
      </c>
    </row>
    <row r="48" spans="2:48" ht="15" customHeight="1">
      <c r="B48" s="26" t="s">
        <v>544</v>
      </c>
      <c r="C48" s="44" t="s">
        <v>311</v>
      </c>
      <c r="D48" s="166">
        <f>0.015+0.021</f>
        <v>0.036000000000000004</v>
      </c>
      <c r="E48" s="261" t="s">
        <v>68</v>
      </c>
      <c r="F48" s="263" t="s">
        <v>69</v>
      </c>
      <c r="G48" s="265">
        <v>0.012</v>
      </c>
      <c r="H48" s="171">
        <v>0.003</v>
      </c>
      <c r="I48" s="168">
        <v>0.003</v>
      </c>
      <c r="J48" s="168">
        <v>0.003</v>
      </c>
      <c r="K48" s="168">
        <v>0.003</v>
      </c>
      <c r="L48" s="168">
        <v>0.003</v>
      </c>
      <c r="M48" s="168">
        <v>0.003</v>
      </c>
      <c r="N48" s="168">
        <v>0.003</v>
      </c>
      <c r="O48" s="168">
        <v>0.003</v>
      </c>
      <c r="P48" s="168">
        <v>0.003</v>
      </c>
      <c r="Q48" s="168">
        <v>0.003</v>
      </c>
      <c r="R48" s="168">
        <v>0.003</v>
      </c>
      <c r="S48" s="265">
        <v>0.003</v>
      </c>
      <c r="T48" s="150">
        <f t="shared" si="17"/>
        <v>0.029999999999999995</v>
      </c>
      <c r="U48" s="151"/>
      <c r="V48" s="223"/>
      <c r="W48" s="29"/>
      <c r="X48" s="29"/>
      <c r="Y48" s="29"/>
      <c r="Z48" s="29"/>
      <c r="AA48" s="29">
        <f>0.015+0.021</f>
        <v>0.036000000000000004</v>
      </c>
      <c r="AB48" s="29">
        <f t="shared" si="14"/>
        <v>0</v>
      </c>
      <c r="AC48" s="30"/>
      <c r="AD48" s="30">
        <f t="shared" si="15"/>
        <v>0.036000000000000004</v>
      </c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>
        <f t="shared" si="16"/>
        <v>0</v>
      </c>
    </row>
    <row r="49" spans="1:48" ht="12.75">
      <c r="A49" s="20"/>
      <c r="B49" s="20"/>
      <c r="C49" s="44" t="s">
        <v>409</v>
      </c>
      <c r="D49" s="166">
        <v>0.009</v>
      </c>
      <c r="E49" s="261" t="s">
        <v>68</v>
      </c>
      <c r="F49" s="263" t="s">
        <v>69</v>
      </c>
      <c r="G49" s="265">
        <v>0.002</v>
      </c>
      <c r="H49" s="171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265">
        <v>0.009</v>
      </c>
      <c r="T49" s="150">
        <f t="shared" si="17"/>
        <v>0</v>
      </c>
      <c r="U49" s="151"/>
      <c r="V49" s="223"/>
      <c r="W49" s="29"/>
      <c r="X49" s="29"/>
      <c r="Y49" s="29"/>
      <c r="Z49" s="29"/>
      <c r="AA49" s="6">
        <v>0.009</v>
      </c>
      <c r="AB49" s="29">
        <f t="shared" si="14"/>
        <v>0</v>
      </c>
      <c r="AC49" s="30"/>
      <c r="AD49" s="30">
        <f t="shared" si="15"/>
        <v>0.009</v>
      </c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>
        <f t="shared" si="16"/>
        <v>0</v>
      </c>
    </row>
    <row r="50" spans="1:48" ht="12.75">
      <c r="A50" s="20"/>
      <c r="B50" s="20" t="s">
        <v>479</v>
      </c>
      <c r="C50" s="5" t="s">
        <v>410</v>
      </c>
      <c r="D50" s="166">
        <v>0.004</v>
      </c>
      <c r="E50" s="261" t="s">
        <v>68</v>
      </c>
      <c r="F50" s="263" t="s">
        <v>69</v>
      </c>
      <c r="G50" s="265">
        <v>0.001</v>
      </c>
      <c r="H50" s="171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265">
        <v>0.004</v>
      </c>
      <c r="T50" s="150">
        <f t="shared" si="17"/>
        <v>0</v>
      </c>
      <c r="U50" s="151"/>
      <c r="V50" s="223"/>
      <c r="W50" s="29"/>
      <c r="X50" s="29"/>
      <c r="Y50" s="29"/>
      <c r="Z50" s="29"/>
      <c r="AA50" s="29">
        <v>0.004</v>
      </c>
      <c r="AB50" s="29">
        <f t="shared" si="14"/>
        <v>0</v>
      </c>
      <c r="AC50" s="30"/>
      <c r="AD50" s="30">
        <f t="shared" si="15"/>
        <v>0.004</v>
      </c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>
        <f t="shared" si="16"/>
        <v>0</v>
      </c>
    </row>
    <row r="51" spans="1:48" ht="12.75">
      <c r="A51" s="20"/>
      <c r="B51" s="20" t="s">
        <v>356</v>
      </c>
      <c r="C51" s="5" t="s">
        <v>61</v>
      </c>
      <c r="D51" s="166">
        <v>1</v>
      </c>
      <c r="E51" s="261" t="s">
        <v>68</v>
      </c>
      <c r="F51" s="263" t="s">
        <v>69</v>
      </c>
      <c r="G51" s="168">
        <v>0.5</v>
      </c>
      <c r="H51" s="171">
        <v>0.01</v>
      </c>
      <c r="I51" s="168">
        <v>0.01</v>
      </c>
      <c r="J51" s="168">
        <v>0.02</v>
      </c>
      <c r="K51" s="168">
        <v>0.1</v>
      </c>
      <c r="L51" s="168">
        <v>0.1</v>
      </c>
      <c r="M51" s="168">
        <v>0.25</v>
      </c>
      <c r="N51" s="168">
        <v>0.25</v>
      </c>
      <c r="O51" s="168">
        <v>0.052</v>
      </c>
      <c r="P51" s="168">
        <v>0.052</v>
      </c>
      <c r="Q51" s="168">
        <v>0.052</v>
      </c>
      <c r="R51" s="168">
        <v>0.052</v>
      </c>
      <c r="S51" s="265">
        <v>0.052</v>
      </c>
      <c r="T51" s="150">
        <f t="shared" si="17"/>
        <v>0.8960000000000001</v>
      </c>
      <c r="U51" s="151"/>
      <c r="V51" s="223"/>
      <c r="W51" s="29"/>
      <c r="X51" s="29"/>
      <c r="Y51" s="29"/>
      <c r="Z51" s="29"/>
      <c r="AA51" s="29"/>
      <c r="AB51" s="29">
        <f t="shared" si="14"/>
        <v>1</v>
      </c>
      <c r="AD51" s="30">
        <f t="shared" si="15"/>
        <v>1</v>
      </c>
      <c r="AF51" s="30"/>
      <c r="AG51" s="30"/>
      <c r="AH51" s="30"/>
      <c r="AI51" s="30">
        <v>1</v>
      </c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>
        <f t="shared" si="16"/>
        <v>1</v>
      </c>
    </row>
    <row r="52" spans="1:48" ht="12.75">
      <c r="A52" s="20"/>
      <c r="B52" s="20" t="s">
        <v>358</v>
      </c>
      <c r="C52" s="5" t="s">
        <v>62</v>
      </c>
      <c r="D52" s="166">
        <v>0.269</v>
      </c>
      <c r="E52" s="261" t="s">
        <v>68</v>
      </c>
      <c r="F52" s="263" t="s">
        <v>69</v>
      </c>
      <c r="G52" s="168">
        <v>0.241</v>
      </c>
      <c r="H52" s="171"/>
      <c r="I52" s="168"/>
      <c r="J52" s="168"/>
      <c r="K52" s="168"/>
      <c r="L52" s="168"/>
      <c r="M52" s="168"/>
      <c r="N52" s="168">
        <v>0.072</v>
      </c>
      <c r="O52" s="168">
        <v>0.103</v>
      </c>
      <c r="P52" s="168">
        <v>0.072</v>
      </c>
      <c r="Q52" s="168">
        <v>0.007</v>
      </c>
      <c r="R52" s="168">
        <v>0.007</v>
      </c>
      <c r="S52" s="265">
        <v>0.008</v>
      </c>
      <c r="T52" s="150">
        <f t="shared" si="17"/>
        <v>0.254</v>
      </c>
      <c r="U52" s="151"/>
      <c r="V52" s="223">
        <v>38579</v>
      </c>
      <c r="W52" s="29"/>
      <c r="X52" s="29"/>
      <c r="Y52" s="29"/>
      <c r="Z52" s="29"/>
      <c r="AA52" s="29"/>
      <c r="AB52" s="29">
        <f aca="true" t="shared" si="18" ref="AB52:AB58">SUM(AF52:AU52)</f>
        <v>0.269</v>
      </c>
      <c r="AD52" s="30">
        <f t="shared" si="15"/>
        <v>0.269</v>
      </c>
      <c r="AF52" s="30"/>
      <c r="AG52" s="30"/>
      <c r="AH52" s="30"/>
      <c r="AI52" s="30">
        <v>0.269</v>
      </c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>
        <f aca="true" t="shared" si="19" ref="AV52:AV59">SUM(AF52:AU52)</f>
        <v>0.269</v>
      </c>
    </row>
    <row r="53" spans="1:48" ht="12.75">
      <c r="A53" s="20"/>
      <c r="B53" s="20" t="s">
        <v>355</v>
      </c>
      <c r="C53" s="5" t="s">
        <v>63</v>
      </c>
      <c r="D53" s="166">
        <v>0.188</v>
      </c>
      <c r="E53" s="261" t="s">
        <v>68</v>
      </c>
      <c r="F53" s="263" t="s">
        <v>69</v>
      </c>
      <c r="G53" s="265">
        <v>0.178</v>
      </c>
      <c r="H53" s="171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265">
        <v>0.188</v>
      </c>
      <c r="T53" s="150">
        <f t="shared" si="17"/>
        <v>0</v>
      </c>
      <c r="U53" s="151"/>
      <c r="V53" s="223" t="s">
        <v>433</v>
      </c>
      <c r="W53" s="29"/>
      <c r="X53" s="29"/>
      <c r="Y53" s="29"/>
      <c r="Z53" s="29"/>
      <c r="AA53" s="29"/>
      <c r="AB53" s="29">
        <f t="shared" si="18"/>
        <v>0.188</v>
      </c>
      <c r="AC53" s="30"/>
      <c r="AD53" s="30">
        <f t="shared" si="15"/>
        <v>0.188</v>
      </c>
      <c r="AF53" s="30"/>
      <c r="AG53" s="30"/>
      <c r="AH53" s="30"/>
      <c r="AI53" s="30">
        <v>0.188</v>
      </c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>
        <f t="shared" si="19"/>
        <v>0.188</v>
      </c>
    </row>
    <row r="54" spans="1:48" ht="12.75">
      <c r="A54" s="20"/>
      <c r="B54" s="20" t="s">
        <v>354</v>
      </c>
      <c r="C54" s="5" t="s">
        <v>64</v>
      </c>
      <c r="D54" s="166">
        <v>0.095</v>
      </c>
      <c r="E54" s="261" t="s">
        <v>68</v>
      </c>
      <c r="F54" s="263" t="s">
        <v>69</v>
      </c>
      <c r="G54" s="168">
        <v>0.018</v>
      </c>
      <c r="H54" s="171"/>
      <c r="I54" s="168"/>
      <c r="J54" s="168"/>
      <c r="K54" s="168"/>
      <c r="L54" s="168"/>
      <c r="M54" s="168"/>
      <c r="N54" s="168"/>
      <c r="O54" s="168">
        <v>0.022</v>
      </c>
      <c r="P54" s="168">
        <v>0.009</v>
      </c>
      <c r="Q54" s="168"/>
      <c r="R54" s="168"/>
      <c r="S54" s="265">
        <v>0.064</v>
      </c>
      <c r="T54" s="150">
        <f t="shared" si="17"/>
        <v>0.031</v>
      </c>
      <c r="U54" s="151"/>
      <c r="V54" s="223"/>
      <c r="W54" s="29"/>
      <c r="X54" s="29"/>
      <c r="Y54" s="29"/>
      <c r="Z54" s="29"/>
      <c r="AA54" s="29"/>
      <c r="AB54" s="29">
        <f t="shared" si="18"/>
        <v>0.095</v>
      </c>
      <c r="AD54" s="30">
        <f aca="true" t="shared" si="20" ref="AD54:AD68">SUM(W54:AC54)</f>
        <v>0.095</v>
      </c>
      <c r="AF54" s="30"/>
      <c r="AG54" s="30"/>
      <c r="AH54" s="30"/>
      <c r="AI54" s="30">
        <v>0.095</v>
      </c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>
        <f t="shared" si="19"/>
        <v>0.095</v>
      </c>
    </row>
    <row r="55" spans="1:48" ht="12.75">
      <c r="A55" s="20"/>
      <c r="B55" s="20" t="s">
        <v>357</v>
      </c>
      <c r="C55" s="5" t="s">
        <v>65</v>
      </c>
      <c r="D55" s="166">
        <f>0.386+0.037</f>
        <v>0.423</v>
      </c>
      <c r="E55" s="261" t="s">
        <v>68</v>
      </c>
      <c r="F55" s="263" t="s">
        <v>69</v>
      </c>
      <c r="G55" s="168">
        <v>0.175</v>
      </c>
      <c r="H55" s="171"/>
      <c r="I55" s="168"/>
      <c r="J55" s="168"/>
      <c r="K55" s="168"/>
      <c r="L55" s="168"/>
      <c r="M55" s="168"/>
      <c r="N55" s="168">
        <v>0.056</v>
      </c>
      <c r="O55" s="168">
        <v>0.032</v>
      </c>
      <c r="P55" s="168">
        <v>0.077</v>
      </c>
      <c r="Q55" s="168">
        <v>0.052</v>
      </c>
      <c r="R55" s="168">
        <v>0.101</v>
      </c>
      <c r="S55" s="265">
        <v>0.105</v>
      </c>
      <c r="T55" s="150">
        <f t="shared" si="17"/>
        <v>0.21699999999999997</v>
      </c>
      <c r="U55" s="151"/>
      <c r="V55" s="223"/>
      <c r="W55" s="29"/>
      <c r="X55" s="29"/>
      <c r="Y55" s="29"/>
      <c r="Z55" s="29"/>
      <c r="AA55" s="29">
        <v>0.037</v>
      </c>
      <c r="AB55" s="29">
        <f t="shared" si="18"/>
        <v>0.386</v>
      </c>
      <c r="AD55" s="30">
        <f t="shared" si="20"/>
        <v>0.423</v>
      </c>
      <c r="AF55" s="30"/>
      <c r="AG55" s="30"/>
      <c r="AH55" s="30"/>
      <c r="AI55" s="30">
        <v>0.386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>
        <f t="shared" si="19"/>
        <v>0.386</v>
      </c>
    </row>
    <row r="56" spans="1:48" ht="12.75">
      <c r="A56" s="20"/>
      <c r="B56" s="20" t="s">
        <v>359</v>
      </c>
      <c r="C56" s="5" t="s">
        <v>67</v>
      </c>
      <c r="D56" s="166">
        <v>0.12</v>
      </c>
      <c r="E56" s="261" t="s">
        <v>68</v>
      </c>
      <c r="F56" s="263" t="s">
        <v>69</v>
      </c>
      <c r="G56" s="168">
        <v>0.014</v>
      </c>
      <c r="H56" s="171"/>
      <c r="I56" s="168"/>
      <c r="J56" s="168"/>
      <c r="K56" s="168"/>
      <c r="L56" s="168"/>
      <c r="M56" s="168"/>
      <c r="N56" s="168">
        <v>0.004</v>
      </c>
      <c r="O56" s="168"/>
      <c r="P56" s="168"/>
      <c r="Q56" s="168"/>
      <c r="R56" s="168"/>
      <c r="S56" s="265">
        <v>0.116</v>
      </c>
      <c r="T56" s="150">
        <f t="shared" si="17"/>
        <v>0.004</v>
      </c>
      <c r="U56" s="151"/>
      <c r="V56" s="223"/>
      <c r="W56" s="29"/>
      <c r="X56" s="29"/>
      <c r="Y56" s="29"/>
      <c r="Z56" s="29"/>
      <c r="AA56" s="29"/>
      <c r="AB56" s="29">
        <f t="shared" si="18"/>
        <v>0.12</v>
      </c>
      <c r="AD56" s="30">
        <f t="shared" si="20"/>
        <v>0.12</v>
      </c>
      <c r="AF56" s="30"/>
      <c r="AG56" s="30"/>
      <c r="AH56" s="30"/>
      <c r="AI56" s="30">
        <v>0.12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>
        <f t="shared" si="19"/>
        <v>0.12</v>
      </c>
    </row>
    <row r="57" spans="1:48" ht="12.75">
      <c r="A57" s="20"/>
      <c r="B57" s="20" t="s">
        <v>360</v>
      </c>
      <c r="C57" s="5" t="s">
        <v>66</v>
      </c>
      <c r="D57" s="166">
        <v>0.273</v>
      </c>
      <c r="E57" s="261" t="s">
        <v>68</v>
      </c>
      <c r="F57" s="263" t="s">
        <v>69</v>
      </c>
      <c r="G57" s="168">
        <v>0.047</v>
      </c>
      <c r="H57" s="171"/>
      <c r="I57" s="168"/>
      <c r="J57" s="168"/>
      <c r="K57" s="168"/>
      <c r="L57" s="168"/>
      <c r="M57" s="168"/>
      <c r="N57" s="168">
        <v>0.028</v>
      </c>
      <c r="O57" s="168"/>
      <c r="P57" s="168">
        <v>0.004</v>
      </c>
      <c r="Q57" s="168">
        <v>0.04</v>
      </c>
      <c r="R57" s="168">
        <v>0.06</v>
      </c>
      <c r="S57" s="265">
        <v>0.141</v>
      </c>
      <c r="T57" s="150">
        <f t="shared" si="17"/>
        <v>0.07200000000000001</v>
      </c>
      <c r="U57" s="151"/>
      <c r="V57" s="223"/>
      <c r="W57" s="29"/>
      <c r="X57" s="29"/>
      <c r="Y57" s="29"/>
      <c r="Z57" s="29"/>
      <c r="AA57" s="29"/>
      <c r="AB57" s="29">
        <f t="shared" si="18"/>
        <v>0.273</v>
      </c>
      <c r="AD57" s="30">
        <f t="shared" si="20"/>
        <v>0.273</v>
      </c>
      <c r="AF57" s="30"/>
      <c r="AG57" s="30"/>
      <c r="AH57" s="30"/>
      <c r="AI57" s="30">
        <v>0.273</v>
      </c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>
        <f t="shared" si="19"/>
        <v>0.273</v>
      </c>
    </row>
    <row r="58" spans="1:48" ht="12.75">
      <c r="A58" s="20"/>
      <c r="B58" s="20" t="s">
        <v>696</v>
      </c>
      <c r="C58" s="44" t="s">
        <v>652</v>
      </c>
      <c r="D58" s="166"/>
      <c r="E58" s="261"/>
      <c r="F58" s="263"/>
      <c r="G58" s="168">
        <v>0.007</v>
      </c>
      <c r="H58" s="171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265"/>
      <c r="T58" s="150">
        <f t="shared" si="17"/>
        <v>0</v>
      </c>
      <c r="U58" s="151"/>
      <c r="V58" s="223"/>
      <c r="W58" s="29"/>
      <c r="X58" s="29"/>
      <c r="Y58" s="29"/>
      <c r="Z58" s="29"/>
      <c r="AB58" s="29">
        <f t="shared" si="18"/>
        <v>0</v>
      </c>
      <c r="AD58" s="30">
        <f>SUM(W58:AC58)</f>
        <v>0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</row>
    <row r="59" spans="1:48" ht="12.75">
      <c r="A59" s="20"/>
      <c r="B59" s="20" t="s">
        <v>697</v>
      </c>
      <c r="C59" s="44" t="s">
        <v>455</v>
      </c>
      <c r="D59" s="166">
        <f>0.135+0.041</f>
        <v>0.17600000000000002</v>
      </c>
      <c r="E59" s="261"/>
      <c r="F59" s="263"/>
      <c r="G59" s="168">
        <v>0.002</v>
      </c>
      <c r="H59" s="171"/>
      <c r="I59" s="168"/>
      <c r="J59" s="168"/>
      <c r="K59" s="168"/>
      <c r="L59" s="168"/>
      <c r="M59" s="168"/>
      <c r="N59" s="168"/>
      <c r="O59" s="168">
        <v>0.027</v>
      </c>
      <c r="P59" s="168">
        <v>0.037</v>
      </c>
      <c r="Q59" s="168">
        <v>0.037</v>
      </c>
      <c r="R59" s="168">
        <v>0.037</v>
      </c>
      <c r="S59" s="265">
        <v>0.038</v>
      </c>
      <c r="T59" s="150">
        <f t="shared" si="17"/>
        <v>0.101</v>
      </c>
      <c r="U59" s="151"/>
      <c r="V59" s="223"/>
      <c r="W59" s="29"/>
      <c r="X59" s="29"/>
      <c r="Y59" s="29"/>
      <c r="Z59" s="29"/>
      <c r="AB59" s="29">
        <f aca="true" t="shared" si="21" ref="AB59:AB68">SUM(AF59:AU59)</f>
        <v>0.17600000000000002</v>
      </c>
      <c r="AD59" s="30">
        <f>SUM(W59:AC59)</f>
        <v>0.17600000000000002</v>
      </c>
      <c r="AF59" s="30"/>
      <c r="AG59" s="30"/>
      <c r="AH59" s="30"/>
      <c r="AI59" s="30">
        <f>0.135+0.041</f>
        <v>0.17600000000000002</v>
      </c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>
        <f t="shared" si="19"/>
        <v>0.17600000000000002</v>
      </c>
    </row>
    <row r="60" spans="1:48" ht="12.75">
      <c r="A60" s="20"/>
      <c r="B60" s="20"/>
      <c r="C60" s="44" t="s">
        <v>698</v>
      </c>
      <c r="D60" s="166">
        <v>0.097</v>
      </c>
      <c r="E60" s="261"/>
      <c r="F60" s="263"/>
      <c r="G60" s="168">
        <v>0.034</v>
      </c>
      <c r="H60" s="171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265">
        <v>0.097</v>
      </c>
      <c r="T60" s="150"/>
      <c r="U60" s="151"/>
      <c r="V60" s="223"/>
      <c r="W60" s="29"/>
      <c r="X60" s="29"/>
      <c r="Y60" s="29"/>
      <c r="Z60" s="29"/>
      <c r="AB60" s="29">
        <f>SUM(AF60:AU60)</f>
        <v>0.097</v>
      </c>
      <c r="AD60" s="30">
        <f>SUM(W60:AC60)</f>
        <v>0.097</v>
      </c>
      <c r="AF60" s="30"/>
      <c r="AG60" s="30"/>
      <c r="AH60" s="30"/>
      <c r="AI60" s="30">
        <v>0.097</v>
      </c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</row>
    <row r="61" spans="1:48" ht="12.75">
      <c r="A61" s="20"/>
      <c r="B61" s="20"/>
      <c r="C61" s="44" t="s">
        <v>704</v>
      </c>
      <c r="D61" s="166">
        <v>0.028</v>
      </c>
      <c r="E61" s="261"/>
      <c r="F61" s="263"/>
      <c r="G61" s="168"/>
      <c r="H61" s="171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265">
        <v>0.028</v>
      </c>
      <c r="T61" s="150"/>
      <c r="U61" s="151"/>
      <c r="V61" s="223"/>
      <c r="W61" s="29"/>
      <c r="X61" s="29"/>
      <c r="Y61" s="29"/>
      <c r="Z61" s="29"/>
      <c r="AB61" s="29">
        <f>SUM(AF61:AU61)</f>
        <v>0.0283</v>
      </c>
      <c r="AD61" s="30">
        <f>SUM(W61:AC61)</f>
        <v>0.0283</v>
      </c>
      <c r="AF61" s="30"/>
      <c r="AG61" s="30"/>
      <c r="AH61" s="30"/>
      <c r="AI61" s="30">
        <v>0.0283</v>
      </c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</row>
    <row r="62" spans="1:48" ht="12.75">
      <c r="A62" s="20"/>
      <c r="B62" s="20" t="s">
        <v>545</v>
      </c>
      <c r="C62" s="44" t="s">
        <v>236</v>
      </c>
      <c r="D62" s="166">
        <f>0.2-0.062-0.009</f>
        <v>0.129</v>
      </c>
      <c r="E62" s="261" t="s">
        <v>68</v>
      </c>
      <c r="F62" s="263" t="s">
        <v>76</v>
      </c>
      <c r="G62" s="265">
        <v>0.134</v>
      </c>
      <c r="H62" s="171">
        <v>0.025</v>
      </c>
      <c r="I62" s="168">
        <v>0.025</v>
      </c>
      <c r="J62" s="168">
        <v>0.025</v>
      </c>
      <c r="K62" s="168">
        <v>0.025</v>
      </c>
      <c r="L62" s="168">
        <v>0.029</v>
      </c>
      <c r="M62" s="168"/>
      <c r="N62" s="168"/>
      <c r="O62" s="168"/>
      <c r="P62" s="168"/>
      <c r="Q62" s="168"/>
      <c r="R62" s="168"/>
      <c r="S62" s="265"/>
      <c r="T62" s="150">
        <f t="shared" si="17"/>
        <v>0.129</v>
      </c>
      <c r="U62" s="151"/>
      <c r="V62" s="223"/>
      <c r="W62" s="29"/>
      <c r="X62" s="29"/>
      <c r="Y62" s="29"/>
      <c r="Z62" s="29"/>
      <c r="AB62" s="29">
        <f t="shared" si="21"/>
        <v>0.129</v>
      </c>
      <c r="AC62" s="30"/>
      <c r="AD62" s="30">
        <f t="shared" si="20"/>
        <v>0.129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>
        <f>0.2-0.062-0.009</f>
        <v>0.129</v>
      </c>
      <c r="AV62" s="30">
        <f aca="true" t="shared" si="22" ref="AV62:AV68">SUM(AF62:AU62)</f>
        <v>0.129</v>
      </c>
    </row>
    <row r="63" spans="1:48" ht="12.75">
      <c r="A63" s="20"/>
      <c r="B63" s="20" t="s">
        <v>478</v>
      </c>
      <c r="C63" s="44" t="s">
        <v>403</v>
      </c>
      <c r="D63" s="166">
        <v>0.01</v>
      </c>
      <c r="E63" s="261" t="s">
        <v>68</v>
      </c>
      <c r="F63" s="263" t="s">
        <v>77</v>
      </c>
      <c r="G63" s="265">
        <v>0.029</v>
      </c>
      <c r="H63" s="171">
        <v>0.002</v>
      </c>
      <c r="I63" s="168">
        <v>0.002</v>
      </c>
      <c r="J63" s="168">
        <v>0.002</v>
      </c>
      <c r="K63" s="168">
        <v>0.002</v>
      </c>
      <c r="L63" s="168">
        <v>0.002</v>
      </c>
      <c r="M63" s="168"/>
      <c r="N63" s="168"/>
      <c r="O63" s="168"/>
      <c r="P63" s="168"/>
      <c r="Q63" s="168"/>
      <c r="R63" s="168"/>
      <c r="S63" s="265"/>
      <c r="T63" s="150">
        <f t="shared" si="17"/>
        <v>0.01</v>
      </c>
      <c r="U63" s="151"/>
      <c r="V63" s="223"/>
      <c r="W63" s="29"/>
      <c r="X63" s="29"/>
      <c r="Y63" s="29"/>
      <c r="Z63" s="29"/>
      <c r="AB63" s="29">
        <f t="shared" si="21"/>
        <v>0.01</v>
      </c>
      <c r="AC63" s="30"/>
      <c r="AD63" s="30">
        <f t="shared" si="20"/>
        <v>0.01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>
        <v>0.01</v>
      </c>
      <c r="AV63" s="30">
        <f t="shared" si="22"/>
        <v>0.01</v>
      </c>
    </row>
    <row r="64" spans="1:48" ht="12.75">
      <c r="A64" s="20"/>
      <c r="B64" s="20" t="s">
        <v>633</v>
      </c>
      <c r="C64" s="44" t="s">
        <v>432</v>
      </c>
      <c r="D64" s="166">
        <v>0.002</v>
      </c>
      <c r="E64" s="261"/>
      <c r="F64" s="263"/>
      <c r="G64" s="265"/>
      <c r="H64" s="171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265">
        <v>0.002</v>
      </c>
      <c r="T64" s="150">
        <f t="shared" si="17"/>
        <v>0</v>
      </c>
      <c r="U64" s="151"/>
      <c r="V64" s="223"/>
      <c r="W64" s="29"/>
      <c r="X64" s="29"/>
      <c r="Y64" s="29"/>
      <c r="Z64" s="29">
        <v>0.002</v>
      </c>
      <c r="AB64" s="29">
        <f t="shared" si="21"/>
        <v>0</v>
      </c>
      <c r="AC64" s="30"/>
      <c r="AD64" s="30">
        <f t="shared" si="20"/>
        <v>0.002</v>
      </c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>
        <f t="shared" si="22"/>
        <v>0</v>
      </c>
    </row>
    <row r="65" spans="1:48" ht="12.75">
      <c r="A65" s="20"/>
      <c r="B65" s="20" t="s">
        <v>262</v>
      </c>
      <c r="C65" s="44" t="s">
        <v>458</v>
      </c>
      <c r="D65" s="166">
        <f>0.091-0.005</f>
        <v>0.086</v>
      </c>
      <c r="E65" s="262" t="s">
        <v>68</v>
      </c>
      <c r="F65" s="263" t="s">
        <v>460</v>
      </c>
      <c r="G65" s="167">
        <v>0.042</v>
      </c>
      <c r="H65" s="171"/>
      <c r="I65" s="168"/>
      <c r="J65" s="168"/>
      <c r="K65" s="168"/>
      <c r="L65" s="168"/>
      <c r="M65" s="168"/>
      <c r="N65" s="168">
        <v>0.016</v>
      </c>
      <c r="O65" s="168"/>
      <c r="P65" s="168"/>
      <c r="Q65" s="168"/>
      <c r="R65" s="168"/>
      <c r="S65" s="265">
        <v>0.07</v>
      </c>
      <c r="T65" s="150">
        <f t="shared" si="17"/>
        <v>0.016</v>
      </c>
      <c r="U65" s="151"/>
      <c r="V65" s="223"/>
      <c r="W65" s="29"/>
      <c r="X65" s="29"/>
      <c r="Y65" s="29"/>
      <c r="Z65" s="29"/>
      <c r="AB65" s="29">
        <f t="shared" si="21"/>
        <v>0.086</v>
      </c>
      <c r="AC65" s="30"/>
      <c r="AD65" s="30">
        <f t="shared" si="20"/>
        <v>0.086</v>
      </c>
      <c r="AF65" s="30"/>
      <c r="AG65" s="30"/>
      <c r="AH65" s="30"/>
      <c r="AI65" s="30"/>
      <c r="AJ65" s="30">
        <f>0.091-0.005</f>
        <v>0.086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>
        <f t="shared" si="22"/>
        <v>0.086</v>
      </c>
    </row>
    <row r="66" spans="1:48" ht="12.75">
      <c r="A66" s="20"/>
      <c r="B66" s="20"/>
      <c r="C66" s="6" t="s">
        <v>454</v>
      </c>
      <c r="D66" s="166">
        <v>0.116</v>
      </c>
      <c r="E66" s="262"/>
      <c r="F66" s="298"/>
      <c r="G66" s="309"/>
      <c r="H66" s="171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>
        <v>0.116</v>
      </c>
      <c r="T66" s="150"/>
      <c r="U66" s="151"/>
      <c r="V66" s="223"/>
      <c r="W66" s="29"/>
      <c r="X66" s="29"/>
      <c r="Y66" s="29">
        <v>0.116</v>
      </c>
      <c r="Z66" s="29"/>
      <c r="AB66" s="29">
        <f>SUM(AF66:AU66)</f>
        <v>0</v>
      </c>
      <c r="AC66" s="30"/>
      <c r="AD66" s="30">
        <f>SUM(W66:AC66)</f>
        <v>0.116</v>
      </c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</row>
    <row r="67" spans="1:49" ht="12.75">
      <c r="A67" s="20"/>
      <c r="B67" s="20" t="s">
        <v>695</v>
      </c>
      <c r="C67" s="103" t="s">
        <v>676</v>
      </c>
      <c r="D67" s="166">
        <v>0.061</v>
      </c>
      <c r="E67" s="262"/>
      <c r="F67" s="298"/>
      <c r="G67" s="167">
        <v>0.06</v>
      </c>
      <c r="H67" s="171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>
        <v>0.061</v>
      </c>
      <c r="T67" s="150">
        <f>SUM(H67:Q67)</f>
        <v>0</v>
      </c>
      <c r="U67" s="151"/>
      <c r="V67" s="223"/>
      <c r="W67" s="29"/>
      <c r="X67" s="29"/>
      <c r="Y67" s="29"/>
      <c r="Z67" s="29"/>
      <c r="AB67" s="29">
        <f>SUM(AF67:AU67)</f>
        <v>0.061</v>
      </c>
      <c r="AC67" s="30"/>
      <c r="AD67" s="30">
        <f>SUM(W67:AC67)</f>
        <v>0.061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>
        <v>0.061</v>
      </c>
      <c r="AV67" s="30">
        <f t="shared" si="22"/>
        <v>0.061</v>
      </c>
      <c r="AW67" s="103" t="s">
        <v>675</v>
      </c>
    </row>
    <row r="68" spans="1:48" ht="13.5" thickBot="1">
      <c r="A68" s="20"/>
      <c r="B68" s="20" t="s">
        <v>632</v>
      </c>
      <c r="C68" s="44" t="s">
        <v>454</v>
      </c>
      <c r="D68" s="166">
        <v>0.004</v>
      </c>
      <c r="E68" s="264"/>
      <c r="F68" s="283"/>
      <c r="G68" s="312">
        <v>0.004</v>
      </c>
      <c r="H68" s="267"/>
      <c r="I68" s="268"/>
      <c r="J68" s="268"/>
      <c r="K68" s="268"/>
      <c r="L68" s="268"/>
      <c r="M68" s="268"/>
      <c r="N68" s="268">
        <v>0.004</v>
      </c>
      <c r="O68" s="268"/>
      <c r="P68" s="268"/>
      <c r="Q68" s="268"/>
      <c r="R68" s="268"/>
      <c r="S68" s="268"/>
      <c r="T68" s="150">
        <f t="shared" si="17"/>
        <v>0.004</v>
      </c>
      <c r="U68" s="151"/>
      <c r="V68" s="223"/>
      <c r="W68" s="29"/>
      <c r="X68" s="29"/>
      <c r="Y68" s="29"/>
      <c r="Z68" s="29"/>
      <c r="AB68" s="29">
        <f t="shared" si="21"/>
        <v>0.004</v>
      </c>
      <c r="AC68" s="30"/>
      <c r="AD68" s="30">
        <f t="shared" si="20"/>
        <v>0.004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>
        <v>0.004</v>
      </c>
      <c r="AV68" s="30">
        <f t="shared" si="22"/>
        <v>0.004</v>
      </c>
    </row>
    <row r="69" spans="3:48" ht="13.5" thickBot="1">
      <c r="C69" s="7" t="s">
        <v>88</v>
      </c>
      <c r="D69" s="18">
        <f>SUM(D37:D68)</f>
        <v>11.850999999999999</v>
      </c>
      <c r="E69" s="233"/>
      <c r="F69" s="234"/>
      <c r="G69" s="310">
        <f>SUM(G37:G68)</f>
        <v>8.333</v>
      </c>
      <c r="H69" s="116">
        <f>SUM(H37:H68)</f>
        <v>0.3400000000000001</v>
      </c>
      <c r="I69" s="112">
        <f>SUM(I37:I68)</f>
        <v>0.3410000000000001</v>
      </c>
      <c r="J69" s="112">
        <f aca="true" t="shared" si="23" ref="J69:S69">SUM(J37:J68)</f>
        <v>0.3510000000000001</v>
      </c>
      <c r="K69" s="112">
        <f t="shared" si="23"/>
        <v>0.43500000000000005</v>
      </c>
      <c r="L69" s="112">
        <f t="shared" si="23"/>
        <v>1.4439999999999997</v>
      </c>
      <c r="M69" s="112">
        <f t="shared" si="23"/>
        <v>1.4559999999999997</v>
      </c>
      <c r="N69" s="112">
        <f t="shared" si="23"/>
        <v>1.636</v>
      </c>
      <c r="O69" s="112">
        <f t="shared" si="23"/>
        <v>0.9620000000000002</v>
      </c>
      <c r="P69" s="112">
        <f t="shared" si="23"/>
        <v>0.8230000000000001</v>
      </c>
      <c r="Q69" s="112">
        <f t="shared" si="23"/>
        <v>0.9620000000000003</v>
      </c>
      <c r="R69" s="112">
        <f t="shared" si="23"/>
        <v>0.9000000000000002</v>
      </c>
      <c r="S69" s="112">
        <f t="shared" si="23"/>
        <v>2.201</v>
      </c>
      <c r="T69" s="185">
        <f>SUM(T37:T68)</f>
        <v>8.75</v>
      </c>
      <c r="U69" s="151"/>
      <c r="V69" s="223"/>
      <c r="W69" s="23">
        <f>SUM(W37:W68)</f>
        <v>0.8230000000000001</v>
      </c>
      <c r="X69" s="23">
        <f aca="true" t="shared" si="24" ref="X69:AD69">SUM(X37:X68)</f>
        <v>0</v>
      </c>
      <c r="Y69" s="23">
        <f t="shared" si="24"/>
        <v>0.116</v>
      </c>
      <c r="Z69" s="23">
        <f t="shared" si="24"/>
        <v>0.002</v>
      </c>
      <c r="AA69" s="23">
        <f t="shared" si="24"/>
        <v>2.8369999999999997</v>
      </c>
      <c r="AB69" s="23">
        <f t="shared" si="24"/>
        <v>8.073299999999998</v>
      </c>
      <c r="AC69" s="23">
        <f t="shared" si="24"/>
        <v>0</v>
      </c>
      <c r="AD69" s="23">
        <f t="shared" si="24"/>
        <v>11.851299999999998</v>
      </c>
      <c r="AF69" s="32">
        <f aca="true" t="shared" si="25" ref="AF69:AV69">SUM(AF37:AF68)</f>
        <v>0</v>
      </c>
      <c r="AG69" s="32">
        <f t="shared" si="25"/>
        <v>0</v>
      </c>
      <c r="AH69" s="32">
        <f t="shared" si="25"/>
        <v>2.092</v>
      </c>
      <c r="AI69" s="32">
        <f t="shared" si="25"/>
        <v>2.6323000000000008</v>
      </c>
      <c r="AJ69" s="32">
        <f t="shared" si="25"/>
        <v>0.086</v>
      </c>
      <c r="AK69" s="32">
        <f t="shared" si="25"/>
        <v>2.606</v>
      </c>
      <c r="AL69" s="32">
        <f t="shared" si="25"/>
        <v>0.103</v>
      </c>
      <c r="AM69" s="32">
        <f t="shared" si="25"/>
        <v>0</v>
      </c>
      <c r="AN69" s="32">
        <f t="shared" si="25"/>
        <v>0</v>
      </c>
      <c r="AO69" s="32">
        <f t="shared" si="25"/>
        <v>0</v>
      </c>
      <c r="AP69" s="32">
        <f t="shared" si="25"/>
        <v>0</v>
      </c>
      <c r="AQ69" s="32">
        <f t="shared" si="25"/>
        <v>0</v>
      </c>
      <c r="AR69" s="32">
        <f t="shared" si="25"/>
        <v>0</v>
      </c>
      <c r="AS69" s="32">
        <f t="shared" si="25"/>
        <v>0</v>
      </c>
      <c r="AT69" s="32">
        <f t="shared" si="25"/>
        <v>0</v>
      </c>
      <c r="AU69" s="32">
        <f t="shared" si="25"/>
        <v>0.554</v>
      </c>
      <c r="AV69" s="32">
        <f t="shared" si="25"/>
        <v>7.947999999999999</v>
      </c>
    </row>
    <row r="70" spans="3:48" ht="12.75">
      <c r="C70" s="5"/>
      <c r="D70" s="5"/>
      <c r="E70" s="235"/>
      <c r="F70" s="237"/>
      <c r="G70" s="309"/>
      <c r="H70" s="8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85"/>
      <c r="T70" s="85"/>
      <c r="U70" s="151"/>
      <c r="V70" s="223"/>
      <c r="W70" s="29"/>
      <c r="X70" s="29"/>
      <c r="Y70" s="29"/>
      <c r="Z70" s="29"/>
      <c r="AA70" s="29"/>
      <c r="AB70" s="29"/>
      <c r="AC70" s="30"/>
      <c r="AD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</row>
    <row r="71" spans="3:48" ht="12.75">
      <c r="C71" s="7" t="s">
        <v>283</v>
      </c>
      <c r="D71" s="5"/>
      <c r="E71" s="235"/>
      <c r="F71" s="237"/>
      <c r="G71" s="309"/>
      <c r="H71" s="8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85"/>
      <c r="T71" s="85"/>
      <c r="U71" s="151"/>
      <c r="V71" s="223"/>
      <c r="W71" s="29"/>
      <c r="X71" s="29"/>
      <c r="Y71" s="29"/>
      <c r="Z71" s="29"/>
      <c r="AA71" s="29"/>
      <c r="AB71" s="29"/>
      <c r="AC71" s="30"/>
      <c r="AD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>
        <f>SUM(AF71:AU71)</f>
        <v>0</v>
      </c>
    </row>
    <row r="72" spans="3:48" ht="12.75">
      <c r="C72" s="7"/>
      <c r="E72" s="235"/>
      <c r="F72" s="237"/>
      <c r="G72" s="311"/>
      <c r="H72" s="8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85"/>
      <c r="T72" s="85"/>
      <c r="U72" s="151"/>
      <c r="V72" s="223"/>
      <c r="W72" s="29"/>
      <c r="X72" s="29"/>
      <c r="Y72" s="29"/>
      <c r="Z72" s="29"/>
      <c r="AA72" s="29"/>
      <c r="AB72" s="29"/>
      <c r="AC72" s="30"/>
      <c r="AD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</row>
    <row r="73" spans="1:48" ht="12" customHeight="1">
      <c r="A73" s="294"/>
      <c r="B73" s="163" t="s">
        <v>197</v>
      </c>
      <c r="C73" s="5" t="s">
        <v>198</v>
      </c>
      <c r="D73" s="9">
        <v>0</v>
      </c>
      <c r="E73" s="244">
        <v>33239</v>
      </c>
      <c r="F73" s="245">
        <v>33664</v>
      </c>
      <c r="G73" s="167">
        <v>0</v>
      </c>
      <c r="H73" s="8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50">
        <f>SUM(H73:Q73)</f>
        <v>0</v>
      </c>
      <c r="U73" s="151"/>
      <c r="V73" s="223"/>
      <c r="W73" s="29"/>
      <c r="X73" s="29"/>
      <c r="Y73" s="29"/>
      <c r="Z73" s="29"/>
      <c r="AA73" s="29"/>
      <c r="AB73" s="29"/>
      <c r="AC73" s="30"/>
      <c r="AD73" s="30">
        <f aca="true" t="shared" si="26" ref="AD73:AD80">SUM(W73:AC73)</f>
        <v>0</v>
      </c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>
        <f>SUM(AF73:AU73)</f>
        <v>0</v>
      </c>
    </row>
    <row r="74" spans="1:48" ht="12.75">
      <c r="A74" s="294"/>
      <c r="B74" s="163" t="s">
        <v>370</v>
      </c>
      <c r="C74" s="5" t="s">
        <v>318</v>
      </c>
      <c r="D74" s="5">
        <f>6.966-3.387</f>
        <v>3.579</v>
      </c>
      <c r="E74" s="235">
        <v>38018</v>
      </c>
      <c r="F74" s="245">
        <v>38596</v>
      </c>
      <c r="G74" s="167">
        <v>3.579</v>
      </c>
      <c r="H74" s="81">
        <v>0.7</v>
      </c>
      <c r="I74" s="12"/>
      <c r="J74" s="12">
        <v>0.711</v>
      </c>
      <c r="K74" s="12">
        <v>0.711</v>
      </c>
      <c r="L74" s="12">
        <v>0.711</v>
      </c>
      <c r="M74" s="12">
        <v>0.711</v>
      </c>
      <c r="N74" s="12">
        <v>0.035</v>
      </c>
      <c r="O74" s="12"/>
      <c r="P74" s="12"/>
      <c r="Q74" s="12"/>
      <c r="R74" s="12"/>
      <c r="S74" s="12"/>
      <c r="T74" s="150">
        <f aca="true" t="shared" si="27" ref="T74:T87">SUM(H74:Q74)</f>
        <v>3.5789999999999997</v>
      </c>
      <c r="U74" s="151"/>
      <c r="V74" s="223"/>
      <c r="W74" s="29">
        <f>0.209-0.209</f>
        <v>0</v>
      </c>
      <c r="X74" s="29">
        <v>1.732</v>
      </c>
      <c r="Y74" s="29"/>
      <c r="Z74" s="29"/>
      <c r="AA74" s="29"/>
      <c r="AB74" s="29">
        <f>SUM(AF74:AU74)</f>
        <v>2.2620000000000005</v>
      </c>
      <c r="AC74" s="30"/>
      <c r="AD74" s="30">
        <f t="shared" si="26"/>
        <v>3.9940000000000007</v>
      </c>
      <c r="AF74" s="30">
        <f>6.146+0.336-4.635+0.415</f>
        <v>2.2620000000000005</v>
      </c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>
        <f>SUM(AF74:AU74)</f>
        <v>2.2620000000000005</v>
      </c>
    </row>
    <row r="75" spans="1:48" ht="12.75">
      <c r="A75" s="294"/>
      <c r="B75" s="163" t="s">
        <v>371</v>
      </c>
      <c r="C75" s="5" t="s">
        <v>340</v>
      </c>
      <c r="D75" s="5">
        <f>3.719-0.778</f>
        <v>2.941</v>
      </c>
      <c r="E75" s="235">
        <v>36923</v>
      </c>
      <c r="F75" s="245">
        <v>38292</v>
      </c>
      <c r="G75" s="167">
        <v>2.911</v>
      </c>
      <c r="H75" s="12"/>
      <c r="I75" s="12"/>
      <c r="J75" s="12"/>
      <c r="K75" s="12"/>
      <c r="L75" s="12"/>
      <c r="M75" s="12">
        <v>2.901</v>
      </c>
      <c r="N75" s="12"/>
      <c r="O75" s="12">
        <v>0.04</v>
      </c>
      <c r="P75" s="12"/>
      <c r="Q75" s="12"/>
      <c r="R75" s="12"/>
      <c r="S75" s="12"/>
      <c r="T75" s="150">
        <f t="shared" si="27"/>
        <v>2.941</v>
      </c>
      <c r="U75" s="151"/>
      <c r="V75" s="223"/>
      <c r="W75" s="29"/>
      <c r="X75" s="29"/>
      <c r="Y75" s="29"/>
      <c r="Z75" s="29"/>
      <c r="AA75" s="29"/>
      <c r="AB75" s="29">
        <f>SUM(AF75:AU75)</f>
        <v>2.527</v>
      </c>
      <c r="AC75" s="30"/>
      <c r="AD75" s="30">
        <f t="shared" si="26"/>
        <v>2.527</v>
      </c>
      <c r="AF75" s="30">
        <f>1.332+1.195</f>
        <v>2.527</v>
      </c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>
        <f>SUM(AF75:AU75)</f>
        <v>2.527</v>
      </c>
    </row>
    <row r="76" spans="1:48" ht="12.75">
      <c r="A76" s="163"/>
      <c r="B76" s="294"/>
      <c r="C76" s="92" t="s">
        <v>301</v>
      </c>
      <c r="D76" s="9">
        <v>0.744</v>
      </c>
      <c r="E76" s="246">
        <v>38078</v>
      </c>
      <c r="F76" s="247">
        <v>38412</v>
      </c>
      <c r="G76" s="313">
        <v>0.523</v>
      </c>
      <c r="H76" s="44">
        <f aca="true" t="shared" si="28" ref="H76:H81">D76/12</f>
        <v>0.062</v>
      </c>
      <c r="I76" s="6">
        <f aca="true" t="shared" si="29" ref="I76:S76">H76</f>
        <v>0.062</v>
      </c>
      <c r="J76" s="6">
        <f t="shared" si="29"/>
        <v>0.062</v>
      </c>
      <c r="K76" s="6">
        <f t="shared" si="29"/>
        <v>0.062</v>
      </c>
      <c r="L76" s="6">
        <f t="shared" si="29"/>
        <v>0.062</v>
      </c>
      <c r="M76" s="6">
        <f t="shared" si="29"/>
        <v>0.062</v>
      </c>
      <c r="N76" s="6">
        <f t="shared" si="29"/>
        <v>0.062</v>
      </c>
      <c r="O76" s="6">
        <f t="shared" si="29"/>
        <v>0.062</v>
      </c>
      <c r="P76" s="6">
        <f t="shared" si="29"/>
        <v>0.062</v>
      </c>
      <c r="Q76" s="6">
        <f t="shared" si="29"/>
        <v>0.062</v>
      </c>
      <c r="R76" s="6">
        <f t="shared" si="29"/>
        <v>0.062</v>
      </c>
      <c r="S76" s="6">
        <f t="shared" si="29"/>
        <v>0.062</v>
      </c>
      <c r="T76" s="150">
        <f t="shared" si="27"/>
        <v>0.6200000000000001</v>
      </c>
      <c r="U76" s="151"/>
      <c r="V76" s="223"/>
      <c r="W76" s="146"/>
      <c r="X76" s="146"/>
      <c r="Y76" s="146"/>
      <c r="Z76" s="146"/>
      <c r="AA76" s="146"/>
      <c r="AB76" s="146"/>
      <c r="AC76" s="146"/>
      <c r="AD76" s="30">
        <f t="shared" si="26"/>
        <v>0</v>
      </c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</row>
    <row r="77" spans="1:48" ht="12" customHeight="1">
      <c r="A77" s="163"/>
      <c r="B77" s="294"/>
      <c r="C77" s="92" t="s">
        <v>303</v>
      </c>
      <c r="D77" s="9">
        <v>0.523</v>
      </c>
      <c r="E77" s="246">
        <v>38078</v>
      </c>
      <c r="F77" s="247">
        <v>38412</v>
      </c>
      <c r="G77" s="313">
        <v>0.298</v>
      </c>
      <c r="H77" s="44">
        <f t="shared" si="28"/>
        <v>0.043583333333333335</v>
      </c>
      <c r="I77" s="6">
        <f aca="true" t="shared" si="30" ref="I77:S77">H77</f>
        <v>0.043583333333333335</v>
      </c>
      <c r="J77" s="6">
        <f t="shared" si="30"/>
        <v>0.043583333333333335</v>
      </c>
      <c r="K77" s="6">
        <f t="shared" si="30"/>
        <v>0.043583333333333335</v>
      </c>
      <c r="L77" s="6">
        <f t="shared" si="30"/>
        <v>0.043583333333333335</v>
      </c>
      <c r="M77" s="6">
        <f t="shared" si="30"/>
        <v>0.043583333333333335</v>
      </c>
      <c r="N77" s="6">
        <f t="shared" si="30"/>
        <v>0.043583333333333335</v>
      </c>
      <c r="O77" s="6">
        <f t="shared" si="30"/>
        <v>0.043583333333333335</v>
      </c>
      <c r="P77" s="6">
        <f t="shared" si="30"/>
        <v>0.043583333333333335</v>
      </c>
      <c r="Q77" s="6">
        <f t="shared" si="30"/>
        <v>0.043583333333333335</v>
      </c>
      <c r="R77" s="6">
        <f t="shared" si="30"/>
        <v>0.043583333333333335</v>
      </c>
      <c r="S77" s="6">
        <f t="shared" si="30"/>
        <v>0.043583333333333335</v>
      </c>
      <c r="T77" s="150">
        <f t="shared" si="27"/>
        <v>0.4358333333333333</v>
      </c>
      <c r="U77" s="151"/>
      <c r="V77" s="223"/>
      <c r="W77" s="146"/>
      <c r="X77" s="146"/>
      <c r="Y77" s="146"/>
      <c r="Z77" s="146"/>
      <c r="AA77" s="146"/>
      <c r="AB77" s="146"/>
      <c r="AC77" s="146"/>
      <c r="AD77" s="30">
        <f t="shared" si="26"/>
        <v>0</v>
      </c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</row>
    <row r="78" spans="1:48" ht="12.75">
      <c r="A78" s="163"/>
      <c r="B78" s="294"/>
      <c r="C78" s="92" t="s">
        <v>302</v>
      </c>
      <c r="D78" s="9">
        <v>1.724</v>
      </c>
      <c r="E78" s="246">
        <v>38078</v>
      </c>
      <c r="F78" s="247">
        <v>38412</v>
      </c>
      <c r="G78" s="313">
        <v>1.182</v>
      </c>
      <c r="H78" s="44">
        <f t="shared" si="28"/>
        <v>0.14366666666666666</v>
      </c>
      <c r="I78" s="6">
        <f aca="true" t="shared" si="31" ref="I78:S78">H78</f>
        <v>0.14366666666666666</v>
      </c>
      <c r="J78" s="6">
        <f t="shared" si="31"/>
        <v>0.14366666666666666</v>
      </c>
      <c r="K78" s="6">
        <f t="shared" si="31"/>
        <v>0.14366666666666666</v>
      </c>
      <c r="L78" s="6">
        <f t="shared" si="31"/>
        <v>0.14366666666666666</v>
      </c>
      <c r="M78" s="6">
        <f t="shared" si="31"/>
        <v>0.14366666666666666</v>
      </c>
      <c r="N78" s="6">
        <f t="shared" si="31"/>
        <v>0.14366666666666666</v>
      </c>
      <c r="O78" s="6">
        <f t="shared" si="31"/>
        <v>0.14366666666666666</v>
      </c>
      <c r="P78" s="6">
        <f t="shared" si="31"/>
        <v>0.14366666666666666</v>
      </c>
      <c r="Q78" s="6">
        <f t="shared" si="31"/>
        <v>0.14366666666666666</v>
      </c>
      <c r="R78" s="6">
        <f t="shared" si="31"/>
        <v>0.14366666666666666</v>
      </c>
      <c r="S78" s="6">
        <f t="shared" si="31"/>
        <v>0.14366666666666666</v>
      </c>
      <c r="T78" s="150">
        <f t="shared" si="27"/>
        <v>1.4366666666666663</v>
      </c>
      <c r="U78" s="151"/>
      <c r="V78" s="223"/>
      <c r="W78" s="146"/>
      <c r="X78" s="146"/>
      <c r="Y78" s="146"/>
      <c r="Z78" s="146"/>
      <c r="AA78" s="146"/>
      <c r="AB78" s="146"/>
      <c r="AC78" s="146"/>
      <c r="AD78" s="30">
        <f t="shared" si="26"/>
        <v>0</v>
      </c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</row>
    <row r="79" spans="1:48" ht="13.5" customHeight="1">
      <c r="A79" s="163"/>
      <c r="B79" s="294"/>
      <c r="C79" s="92" t="s">
        <v>312</v>
      </c>
      <c r="D79" s="9">
        <v>0.118</v>
      </c>
      <c r="E79" s="244"/>
      <c r="F79" s="245"/>
      <c r="G79" s="313">
        <v>0.035</v>
      </c>
      <c r="H79" s="44">
        <f t="shared" si="28"/>
        <v>0.009833333333333333</v>
      </c>
      <c r="I79" s="6">
        <f aca="true" t="shared" si="32" ref="I79:S79">H79</f>
        <v>0.009833333333333333</v>
      </c>
      <c r="J79" s="6">
        <f t="shared" si="32"/>
        <v>0.009833333333333333</v>
      </c>
      <c r="K79" s="6">
        <f t="shared" si="32"/>
        <v>0.009833333333333333</v>
      </c>
      <c r="L79" s="6">
        <f t="shared" si="32"/>
        <v>0.009833333333333333</v>
      </c>
      <c r="M79" s="6">
        <f t="shared" si="32"/>
        <v>0.009833333333333333</v>
      </c>
      <c r="N79" s="6">
        <f t="shared" si="32"/>
        <v>0.009833333333333333</v>
      </c>
      <c r="O79" s="6">
        <f t="shared" si="32"/>
        <v>0.009833333333333333</v>
      </c>
      <c r="P79" s="6">
        <f t="shared" si="32"/>
        <v>0.009833333333333333</v>
      </c>
      <c r="Q79" s="6">
        <f t="shared" si="32"/>
        <v>0.009833333333333333</v>
      </c>
      <c r="R79" s="6">
        <f t="shared" si="32"/>
        <v>0.009833333333333333</v>
      </c>
      <c r="S79" s="6">
        <f t="shared" si="32"/>
        <v>0.009833333333333333</v>
      </c>
      <c r="T79" s="150">
        <f t="shared" si="27"/>
        <v>0.09833333333333333</v>
      </c>
      <c r="U79" s="151"/>
      <c r="V79" s="223"/>
      <c r="W79" s="146"/>
      <c r="X79" s="146"/>
      <c r="Y79" s="146"/>
      <c r="Z79" s="146"/>
      <c r="AA79" s="146"/>
      <c r="AB79" s="146"/>
      <c r="AC79" s="146"/>
      <c r="AD79" s="30">
        <f t="shared" si="26"/>
        <v>0</v>
      </c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</row>
    <row r="80" spans="1:48" ht="12.75">
      <c r="A80" s="163"/>
      <c r="B80" s="295"/>
      <c r="C80" s="92" t="s">
        <v>313</v>
      </c>
      <c r="D80" s="9">
        <v>0.573</v>
      </c>
      <c r="E80" s="246">
        <v>38078</v>
      </c>
      <c r="F80" s="247">
        <v>38412</v>
      </c>
      <c r="G80" s="313">
        <v>0.454</v>
      </c>
      <c r="H80" s="44">
        <f t="shared" si="28"/>
        <v>0.047749999999999994</v>
      </c>
      <c r="I80" s="6">
        <f aca="true" t="shared" si="33" ref="I80:S80">H80</f>
        <v>0.047749999999999994</v>
      </c>
      <c r="J80" s="6">
        <f t="shared" si="33"/>
        <v>0.047749999999999994</v>
      </c>
      <c r="K80" s="6">
        <f t="shared" si="33"/>
        <v>0.047749999999999994</v>
      </c>
      <c r="L80" s="6">
        <f t="shared" si="33"/>
        <v>0.047749999999999994</v>
      </c>
      <c r="M80" s="6">
        <f t="shared" si="33"/>
        <v>0.047749999999999994</v>
      </c>
      <c r="N80" s="6">
        <f t="shared" si="33"/>
        <v>0.047749999999999994</v>
      </c>
      <c r="O80" s="6">
        <f t="shared" si="33"/>
        <v>0.047749999999999994</v>
      </c>
      <c r="P80" s="6">
        <f t="shared" si="33"/>
        <v>0.047749999999999994</v>
      </c>
      <c r="Q80" s="6">
        <f t="shared" si="33"/>
        <v>0.047749999999999994</v>
      </c>
      <c r="R80" s="6">
        <f t="shared" si="33"/>
        <v>0.047749999999999994</v>
      </c>
      <c r="S80" s="6">
        <f t="shared" si="33"/>
        <v>0.047749999999999994</v>
      </c>
      <c r="T80" s="150">
        <f t="shared" si="27"/>
        <v>0.47750000000000004</v>
      </c>
      <c r="U80" s="151"/>
      <c r="V80" s="223"/>
      <c r="W80" s="146"/>
      <c r="X80" s="146"/>
      <c r="Y80" s="146"/>
      <c r="Z80" s="146"/>
      <c r="AA80" s="146"/>
      <c r="AB80" s="146"/>
      <c r="AC80" s="146"/>
      <c r="AD80" s="30">
        <f t="shared" si="26"/>
        <v>0</v>
      </c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</row>
    <row r="81" spans="1:48" ht="12.75">
      <c r="A81" s="163"/>
      <c r="B81" s="294"/>
      <c r="C81" s="92" t="s">
        <v>304</v>
      </c>
      <c r="D81" s="9">
        <v>0.522</v>
      </c>
      <c r="E81" s="246">
        <v>38078</v>
      </c>
      <c r="F81" s="247">
        <v>38412</v>
      </c>
      <c r="G81" s="313">
        <v>0.284</v>
      </c>
      <c r="H81" s="44">
        <f t="shared" si="28"/>
        <v>0.043500000000000004</v>
      </c>
      <c r="I81" s="6">
        <f aca="true" t="shared" si="34" ref="I81:S81">H81</f>
        <v>0.043500000000000004</v>
      </c>
      <c r="J81" s="6">
        <f t="shared" si="34"/>
        <v>0.043500000000000004</v>
      </c>
      <c r="K81" s="6">
        <f t="shared" si="34"/>
        <v>0.043500000000000004</v>
      </c>
      <c r="L81" s="6">
        <f t="shared" si="34"/>
        <v>0.043500000000000004</v>
      </c>
      <c r="M81" s="6">
        <f t="shared" si="34"/>
        <v>0.043500000000000004</v>
      </c>
      <c r="N81" s="6">
        <f t="shared" si="34"/>
        <v>0.043500000000000004</v>
      </c>
      <c r="O81" s="6">
        <f t="shared" si="34"/>
        <v>0.043500000000000004</v>
      </c>
      <c r="P81" s="6">
        <f t="shared" si="34"/>
        <v>0.043500000000000004</v>
      </c>
      <c r="Q81" s="6">
        <f t="shared" si="34"/>
        <v>0.043500000000000004</v>
      </c>
      <c r="R81" s="6">
        <f t="shared" si="34"/>
        <v>0.043500000000000004</v>
      </c>
      <c r="S81" s="6">
        <f t="shared" si="34"/>
        <v>0.043500000000000004</v>
      </c>
      <c r="T81" s="150">
        <f t="shared" si="27"/>
        <v>0.43499999999999994</v>
      </c>
      <c r="U81" s="151"/>
      <c r="V81" s="223"/>
      <c r="W81" s="146"/>
      <c r="X81" s="146"/>
      <c r="Y81" s="146"/>
      <c r="Z81" s="146"/>
      <c r="AA81" s="146"/>
      <c r="AB81" s="146"/>
      <c r="AC81" s="146"/>
      <c r="AD81" s="30">
        <f aca="true" t="shared" si="35" ref="AD81:AD87">SUM(W81:AC81)</f>
        <v>0</v>
      </c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</row>
    <row r="82" spans="1:48" ht="12.75">
      <c r="A82" s="163"/>
      <c r="B82" s="294"/>
      <c r="C82" s="5" t="s">
        <v>310</v>
      </c>
      <c r="D82" s="9">
        <v>0.24</v>
      </c>
      <c r="E82" s="246"/>
      <c r="F82" s="247"/>
      <c r="G82" s="313">
        <v>0.2</v>
      </c>
      <c r="H82" s="147">
        <f>$D$82/12</f>
        <v>0.02</v>
      </c>
      <c r="I82" s="148">
        <f aca="true" t="shared" si="36" ref="I82:S82">$D$82/12</f>
        <v>0.02</v>
      </c>
      <c r="J82" s="148">
        <f t="shared" si="36"/>
        <v>0.02</v>
      </c>
      <c r="K82" s="148">
        <f t="shared" si="36"/>
        <v>0.02</v>
      </c>
      <c r="L82" s="148">
        <f t="shared" si="36"/>
        <v>0.02</v>
      </c>
      <c r="M82" s="148">
        <f t="shared" si="36"/>
        <v>0.02</v>
      </c>
      <c r="N82" s="148">
        <f t="shared" si="36"/>
        <v>0.02</v>
      </c>
      <c r="O82" s="148">
        <f t="shared" si="36"/>
        <v>0.02</v>
      </c>
      <c r="P82" s="148">
        <f t="shared" si="36"/>
        <v>0.02</v>
      </c>
      <c r="Q82" s="148">
        <f t="shared" si="36"/>
        <v>0.02</v>
      </c>
      <c r="R82" s="148">
        <f>$D$82/12</f>
        <v>0.02</v>
      </c>
      <c r="S82" s="291">
        <f t="shared" si="36"/>
        <v>0.02</v>
      </c>
      <c r="T82" s="150">
        <f t="shared" si="27"/>
        <v>0.19999999999999998</v>
      </c>
      <c r="U82" s="151"/>
      <c r="V82" s="223"/>
      <c r="W82" s="146"/>
      <c r="X82" s="146"/>
      <c r="Y82" s="146"/>
      <c r="Z82" s="146"/>
      <c r="AA82" s="146"/>
      <c r="AB82" s="146"/>
      <c r="AC82" s="146"/>
      <c r="AD82" s="30">
        <f t="shared" si="35"/>
        <v>0</v>
      </c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8"/>
      <c r="AV82" s="30"/>
    </row>
    <row r="83" spans="1:48" ht="12" customHeight="1">
      <c r="A83" s="163"/>
      <c r="B83" s="296">
        <v>0.028</v>
      </c>
      <c r="C83" s="133" t="s">
        <v>461</v>
      </c>
      <c r="D83" s="19">
        <f>-(0.318-0.028-0.04-0.03-0.001)</f>
        <v>-0.21899999999999997</v>
      </c>
      <c r="E83" s="246"/>
      <c r="F83" s="247"/>
      <c r="G83" s="167"/>
      <c r="H83" s="8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>
        <v>-0.219</v>
      </c>
      <c r="T83" s="150">
        <f t="shared" si="27"/>
        <v>0</v>
      </c>
      <c r="U83" s="151"/>
      <c r="V83" s="223"/>
      <c r="W83" s="29"/>
      <c r="X83" s="29"/>
      <c r="Y83" s="29"/>
      <c r="Z83" s="29"/>
      <c r="AA83" s="29"/>
      <c r="AB83" s="29"/>
      <c r="AC83" s="30"/>
      <c r="AD83" s="30">
        <f t="shared" si="35"/>
        <v>0</v>
      </c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V83" s="30"/>
    </row>
    <row r="84" spans="1:48" ht="12" customHeight="1">
      <c r="A84" s="163"/>
      <c r="B84" s="296">
        <v>0.019</v>
      </c>
      <c r="C84" s="133" t="s">
        <v>423</v>
      </c>
      <c r="D84" s="19">
        <v>0.019</v>
      </c>
      <c r="E84" s="246"/>
      <c r="F84" s="247"/>
      <c r="G84" s="167"/>
      <c r="H84" s="8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>
        <v>0.019</v>
      </c>
      <c r="T84" s="150">
        <f t="shared" si="27"/>
        <v>0</v>
      </c>
      <c r="U84" s="151"/>
      <c r="V84" s="223"/>
      <c r="W84" s="29"/>
      <c r="X84" s="29"/>
      <c r="Y84" s="29"/>
      <c r="Z84" s="29"/>
      <c r="AA84" s="29"/>
      <c r="AB84" s="29"/>
      <c r="AC84" s="30"/>
      <c r="AD84" s="30">
        <f t="shared" si="35"/>
        <v>0</v>
      </c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V84" s="30"/>
    </row>
    <row r="85" spans="1:48" ht="12.75">
      <c r="A85" s="294"/>
      <c r="B85" s="163" t="s">
        <v>252</v>
      </c>
      <c r="C85" s="5"/>
      <c r="D85" s="9"/>
      <c r="E85" s="244"/>
      <c r="F85" s="245"/>
      <c r="G85" s="167"/>
      <c r="H85" s="8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50">
        <f t="shared" si="27"/>
        <v>0</v>
      </c>
      <c r="U85" s="151"/>
      <c r="V85" s="223"/>
      <c r="W85" s="29"/>
      <c r="X85" s="29"/>
      <c r="Y85" s="29"/>
      <c r="Z85" s="29"/>
      <c r="AA85" s="29"/>
      <c r="AB85" s="146">
        <f>SUM(AB84:AB84)</f>
        <v>0</v>
      </c>
      <c r="AD85" s="30">
        <f t="shared" si="35"/>
        <v>0</v>
      </c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146">
        <f>SUM(AV84:AV84)</f>
        <v>0</v>
      </c>
    </row>
    <row r="86" spans="1:48" ht="12.75">
      <c r="A86" s="294"/>
      <c r="B86" s="295"/>
      <c r="C86" s="5" t="s">
        <v>507</v>
      </c>
      <c r="D86" s="9">
        <v>0.25</v>
      </c>
      <c r="E86" s="244"/>
      <c r="F86" s="245"/>
      <c r="G86" s="167"/>
      <c r="H86" s="81">
        <v>0.021</v>
      </c>
      <c r="I86" s="12">
        <v>0.021</v>
      </c>
      <c r="J86" s="12">
        <v>0.021</v>
      </c>
      <c r="K86" s="12">
        <v>0.021</v>
      </c>
      <c r="L86" s="12">
        <v>0.021</v>
      </c>
      <c r="M86" s="12">
        <v>0.021</v>
      </c>
      <c r="N86" s="12">
        <v>0.021</v>
      </c>
      <c r="O86" s="12">
        <v>0.021</v>
      </c>
      <c r="P86" s="12">
        <v>0.021</v>
      </c>
      <c r="Q86" s="12">
        <v>0.021</v>
      </c>
      <c r="R86" s="12">
        <v>0.021</v>
      </c>
      <c r="S86" s="12">
        <v>0.019</v>
      </c>
      <c r="T86" s="150">
        <f t="shared" si="27"/>
        <v>0.20999999999999996</v>
      </c>
      <c r="U86" s="151"/>
      <c r="V86" s="223"/>
      <c r="W86" s="29"/>
      <c r="X86" s="29"/>
      <c r="Y86" s="29"/>
      <c r="Z86" s="29"/>
      <c r="AA86" s="29"/>
      <c r="AB86" s="146"/>
      <c r="AC86" s="30"/>
      <c r="AD86" s="30">
        <f t="shared" si="35"/>
        <v>0</v>
      </c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V86" s="146"/>
    </row>
    <row r="87" spans="1:49" ht="13.5" thickBot="1">
      <c r="A87" s="163" t="s">
        <v>268</v>
      </c>
      <c r="B87" s="163"/>
      <c r="C87" s="5"/>
      <c r="D87" s="9"/>
      <c r="E87" s="244"/>
      <c r="F87" s="245"/>
      <c r="G87" s="167"/>
      <c r="H87" s="8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50">
        <f t="shared" si="27"/>
        <v>0</v>
      </c>
      <c r="U87" s="151"/>
      <c r="V87" s="223"/>
      <c r="W87" s="29">
        <f>4.126</f>
        <v>4.126</v>
      </c>
      <c r="X87" s="29"/>
      <c r="Y87" s="29"/>
      <c r="Z87" s="29"/>
      <c r="AA87" s="29">
        <f>0.019+0.028+0.25</f>
        <v>0.297</v>
      </c>
      <c r="AB87" s="29">
        <f>SUM(AF87:AU87)</f>
        <v>0</v>
      </c>
      <c r="AC87" s="30">
        <f>0.04+0.03</f>
        <v>0.07</v>
      </c>
      <c r="AD87" s="30">
        <f t="shared" si="35"/>
        <v>4.493</v>
      </c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V87" s="30">
        <f>SUM(AF87:AU87)</f>
        <v>0</v>
      </c>
      <c r="AW87" s="75" t="s">
        <v>667</v>
      </c>
    </row>
    <row r="88" spans="3:48" ht="13.5" thickBot="1">
      <c r="C88" s="7" t="s">
        <v>305</v>
      </c>
      <c r="D88" s="18">
        <f>SUM(D73:D87)</f>
        <v>11.014000000000001</v>
      </c>
      <c r="E88" s="242"/>
      <c r="F88" s="243"/>
      <c r="G88" s="310">
        <f>SUM(G73:G87)</f>
        <v>9.466000000000001</v>
      </c>
      <c r="H88" s="86">
        <f>SUM(H73:H87)</f>
        <v>1.0913333333333333</v>
      </c>
      <c r="I88" s="21">
        <f>SUM(I73:I87)</f>
        <v>0.39133333333333337</v>
      </c>
      <c r="J88" s="21">
        <f aca="true" t="shared" si="37" ref="J88:S88">SUM(J73:J87)</f>
        <v>1.1023333333333332</v>
      </c>
      <c r="K88" s="21">
        <f t="shared" si="37"/>
        <v>1.1023333333333332</v>
      </c>
      <c r="L88" s="21">
        <f t="shared" si="37"/>
        <v>1.1023333333333332</v>
      </c>
      <c r="M88" s="21">
        <f t="shared" si="37"/>
        <v>4.003333333333333</v>
      </c>
      <c r="N88" s="21">
        <f t="shared" si="37"/>
        <v>0.4263333333333334</v>
      </c>
      <c r="O88" s="21">
        <f t="shared" si="37"/>
        <v>0.4313333333333334</v>
      </c>
      <c r="P88" s="21">
        <f t="shared" si="37"/>
        <v>0.39133333333333337</v>
      </c>
      <c r="Q88" s="21">
        <f t="shared" si="37"/>
        <v>0.39133333333333337</v>
      </c>
      <c r="R88" s="21">
        <f t="shared" si="37"/>
        <v>0.39133333333333337</v>
      </c>
      <c r="S88" s="21">
        <f t="shared" si="37"/>
        <v>0.18933333333333333</v>
      </c>
      <c r="T88" s="18">
        <f>SUM(T73:T87)</f>
        <v>10.43333333333333</v>
      </c>
      <c r="U88" s="151"/>
      <c r="V88" s="223"/>
      <c r="W88" s="18">
        <f aca="true" t="shared" si="38" ref="W88:AD88">SUM(W73:W87)</f>
        <v>4.126</v>
      </c>
      <c r="X88" s="18">
        <f t="shared" si="38"/>
        <v>1.732</v>
      </c>
      <c r="Y88" s="18">
        <f t="shared" si="38"/>
        <v>0</v>
      </c>
      <c r="Z88" s="18">
        <f t="shared" si="38"/>
        <v>0</v>
      </c>
      <c r="AA88" s="18">
        <f t="shared" si="38"/>
        <v>0.297</v>
      </c>
      <c r="AB88" s="18">
        <f t="shared" si="38"/>
        <v>4.789000000000001</v>
      </c>
      <c r="AC88" s="18">
        <f t="shared" si="38"/>
        <v>0.07</v>
      </c>
      <c r="AD88" s="18">
        <f t="shared" si="38"/>
        <v>11.014000000000001</v>
      </c>
      <c r="AE88" s="7"/>
      <c r="AF88" s="18">
        <f aca="true" t="shared" si="39" ref="AF88:AV88">SUM(AF73:AF87)</f>
        <v>4.789000000000001</v>
      </c>
      <c r="AG88" s="18">
        <f t="shared" si="39"/>
        <v>0</v>
      </c>
      <c r="AH88" s="18">
        <f t="shared" si="39"/>
        <v>0</v>
      </c>
      <c r="AI88" s="18">
        <f t="shared" si="39"/>
        <v>0</v>
      </c>
      <c r="AJ88" s="18">
        <f t="shared" si="39"/>
        <v>0</v>
      </c>
      <c r="AK88" s="18">
        <f t="shared" si="39"/>
        <v>0</v>
      </c>
      <c r="AL88" s="18">
        <f t="shared" si="39"/>
        <v>0</v>
      </c>
      <c r="AM88" s="18">
        <f t="shared" si="39"/>
        <v>0</v>
      </c>
      <c r="AN88" s="18">
        <f t="shared" si="39"/>
        <v>0</v>
      </c>
      <c r="AO88" s="18">
        <f t="shared" si="39"/>
        <v>0</v>
      </c>
      <c r="AP88" s="18">
        <f t="shared" si="39"/>
        <v>0</v>
      </c>
      <c r="AQ88" s="18">
        <f t="shared" si="39"/>
        <v>0</v>
      </c>
      <c r="AR88" s="18">
        <f t="shared" si="39"/>
        <v>0</v>
      </c>
      <c r="AS88" s="18">
        <f t="shared" si="39"/>
        <v>0</v>
      </c>
      <c r="AT88" s="18">
        <f t="shared" si="39"/>
        <v>0</v>
      </c>
      <c r="AU88" s="18">
        <f t="shared" si="39"/>
        <v>0</v>
      </c>
      <c r="AV88" s="18">
        <f t="shared" si="39"/>
        <v>4.789000000000001</v>
      </c>
    </row>
    <row r="89" spans="3:48" ht="12.75">
      <c r="C89" s="5"/>
      <c r="E89" s="235"/>
      <c r="F89" s="237"/>
      <c r="G89" s="167"/>
      <c r="H89" s="81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85"/>
      <c r="T89" s="85"/>
      <c r="U89" s="151"/>
      <c r="V89" s="223"/>
      <c r="W89" s="29"/>
      <c r="X89" s="29"/>
      <c r="Y89" s="29"/>
      <c r="Z89" s="29"/>
      <c r="AA89" s="29"/>
      <c r="AB89" s="29"/>
      <c r="AC89" s="30"/>
      <c r="AD89" s="30"/>
      <c r="AF89" s="275"/>
      <c r="AG89" s="275"/>
      <c r="AH89" s="275"/>
      <c r="AI89" s="275"/>
      <c r="AJ89" s="275"/>
      <c r="AK89" s="275"/>
      <c r="AL89" s="275"/>
      <c r="AM89" s="275"/>
      <c r="AN89" s="275"/>
      <c r="AO89" s="275"/>
      <c r="AP89" s="275"/>
      <c r="AQ89" s="275"/>
      <c r="AR89" s="275"/>
      <c r="AS89" s="275"/>
      <c r="AT89" s="275"/>
      <c r="AU89" s="275"/>
      <c r="AV89" s="275"/>
    </row>
    <row r="90" spans="3:48" ht="12.75">
      <c r="C90" s="7" t="s">
        <v>596</v>
      </c>
      <c r="D90" s="5"/>
      <c r="E90" s="235"/>
      <c r="F90" s="237"/>
      <c r="G90" s="167"/>
      <c r="H90" s="8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85"/>
      <c r="T90" s="85"/>
      <c r="U90" s="151"/>
      <c r="V90" s="223"/>
      <c r="W90" s="29"/>
      <c r="X90" s="29"/>
      <c r="Y90" s="29"/>
      <c r="Z90" s="29"/>
      <c r="AA90" s="29"/>
      <c r="AB90" s="29"/>
      <c r="AC90" s="30"/>
      <c r="AD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</row>
    <row r="91" spans="2:48" ht="12.75">
      <c r="B91" s="273" t="s">
        <v>146</v>
      </c>
      <c r="C91" s="271" t="s">
        <v>147</v>
      </c>
      <c r="D91" s="274">
        <f>0.036+0.01</f>
        <v>0.046</v>
      </c>
      <c r="E91" s="235"/>
      <c r="F91" s="237"/>
      <c r="G91" s="167">
        <v>0.02</v>
      </c>
      <c r="H91" s="81"/>
      <c r="I91" s="12"/>
      <c r="J91" s="12"/>
      <c r="K91" s="12">
        <v>0.004</v>
      </c>
      <c r="L91" s="12">
        <v>0.004</v>
      </c>
      <c r="M91" s="12">
        <v>0.004</v>
      </c>
      <c r="N91" s="12">
        <v>0.004</v>
      </c>
      <c r="O91" s="12">
        <v>0.004</v>
      </c>
      <c r="P91" s="12">
        <v>0.004</v>
      </c>
      <c r="Q91" s="12">
        <v>0.002</v>
      </c>
      <c r="R91" s="12">
        <v>0.02</v>
      </c>
      <c r="S91" s="12"/>
      <c r="T91" s="150">
        <f aca="true" t="shared" si="40" ref="T91:T137">SUM(H91:Q91)</f>
        <v>0.026000000000000002</v>
      </c>
      <c r="U91" s="151"/>
      <c r="V91" s="223"/>
      <c r="W91" s="29">
        <f>0.01</f>
        <v>0.01</v>
      </c>
      <c r="X91" s="29"/>
      <c r="Y91" s="29"/>
      <c r="Z91" s="29">
        <v>0.036</v>
      </c>
      <c r="AA91" s="29"/>
      <c r="AB91" s="29">
        <f aca="true" t="shared" si="41" ref="AB91:AB137">SUM(AF91:AU91)</f>
        <v>0</v>
      </c>
      <c r="AC91" s="30"/>
      <c r="AD91" s="47">
        <f aca="true" t="shared" si="42" ref="AD91:AD115">SUM(W91:AC91)</f>
        <v>0.046</v>
      </c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>
        <f aca="true" t="shared" si="43" ref="AV91:AV137">SUM(AF91:AU91)</f>
        <v>0</v>
      </c>
    </row>
    <row r="92" spans="2:48" ht="12.75">
      <c r="B92" s="273" t="s">
        <v>512</v>
      </c>
      <c r="C92" s="271" t="s">
        <v>513</v>
      </c>
      <c r="D92" s="274">
        <f>0.079+0.013</f>
        <v>0.092</v>
      </c>
      <c r="E92" s="235"/>
      <c r="F92" s="237"/>
      <c r="G92" s="167">
        <v>0.077</v>
      </c>
      <c r="H92" s="81"/>
      <c r="I92" s="12"/>
      <c r="J92" s="12"/>
      <c r="K92" s="12"/>
      <c r="L92" s="12">
        <v>0.015</v>
      </c>
      <c r="M92" s="12">
        <v>0.04</v>
      </c>
      <c r="N92" s="12">
        <v>0.035</v>
      </c>
      <c r="O92" s="12"/>
      <c r="P92" s="12"/>
      <c r="Q92" s="12"/>
      <c r="R92" s="12"/>
      <c r="S92" s="12">
        <v>0.002</v>
      </c>
      <c r="T92" s="150">
        <f t="shared" si="40"/>
        <v>0.09</v>
      </c>
      <c r="U92" s="151"/>
      <c r="V92" s="223">
        <v>38537</v>
      </c>
      <c r="W92" s="29"/>
      <c r="X92" s="29"/>
      <c r="Y92" s="29"/>
      <c r="Z92" s="29"/>
      <c r="AA92" s="29"/>
      <c r="AB92" s="29">
        <f t="shared" si="41"/>
        <v>0</v>
      </c>
      <c r="AC92" s="30">
        <f>0.079+0.013</f>
        <v>0.092</v>
      </c>
      <c r="AD92" s="47">
        <f t="shared" si="42"/>
        <v>0.092</v>
      </c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>
        <f t="shared" si="43"/>
        <v>0</v>
      </c>
    </row>
    <row r="93" spans="2:48" ht="12.75">
      <c r="B93" s="273" t="s">
        <v>670</v>
      </c>
      <c r="C93" s="272" t="s">
        <v>671</v>
      </c>
      <c r="D93" s="274"/>
      <c r="E93" s="235"/>
      <c r="F93" s="237"/>
      <c r="G93" s="167">
        <v>0.005</v>
      </c>
      <c r="H93" s="81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50">
        <f t="shared" si="40"/>
        <v>0</v>
      </c>
      <c r="U93" s="151"/>
      <c r="V93" s="223"/>
      <c r="W93" s="29"/>
      <c r="X93" s="29"/>
      <c r="Y93" s="29"/>
      <c r="Z93" s="29"/>
      <c r="AA93" s="29"/>
      <c r="AB93" s="29">
        <f t="shared" si="41"/>
        <v>0</v>
      </c>
      <c r="AC93" s="30"/>
      <c r="AD93" s="47">
        <f t="shared" si="42"/>
        <v>0</v>
      </c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>
        <f t="shared" si="43"/>
        <v>0</v>
      </c>
    </row>
    <row r="94" spans="2:48" ht="12.75">
      <c r="B94" s="273" t="s">
        <v>362</v>
      </c>
      <c r="C94" s="271" t="s">
        <v>365</v>
      </c>
      <c r="D94" s="274"/>
      <c r="E94" s="235"/>
      <c r="F94" s="237"/>
      <c r="G94" s="167">
        <v>0.001</v>
      </c>
      <c r="H94" s="81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50">
        <f t="shared" si="40"/>
        <v>0</v>
      </c>
      <c r="U94" s="151"/>
      <c r="V94" s="223"/>
      <c r="W94" s="29"/>
      <c r="X94" s="29"/>
      <c r="Y94" s="29"/>
      <c r="Z94" s="29"/>
      <c r="AA94" s="29"/>
      <c r="AB94" s="29">
        <f t="shared" si="41"/>
        <v>0</v>
      </c>
      <c r="AC94" s="30"/>
      <c r="AD94" s="47">
        <f t="shared" si="42"/>
        <v>0</v>
      </c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>
        <f t="shared" si="43"/>
        <v>0</v>
      </c>
    </row>
    <row r="95" spans="2:48" ht="12.75">
      <c r="B95" s="273" t="s">
        <v>668</v>
      </c>
      <c r="C95" s="271" t="s">
        <v>669</v>
      </c>
      <c r="D95" s="274"/>
      <c r="E95" s="235"/>
      <c r="F95" s="237"/>
      <c r="G95" s="167">
        <v>0.002</v>
      </c>
      <c r="H95" s="8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50">
        <f t="shared" si="40"/>
        <v>0</v>
      </c>
      <c r="U95" s="151"/>
      <c r="V95" s="223"/>
      <c r="W95" s="29"/>
      <c r="X95" s="29"/>
      <c r="Y95" s="29"/>
      <c r="Z95" s="29"/>
      <c r="AA95" s="29"/>
      <c r="AB95" s="29">
        <f t="shared" si="41"/>
        <v>0</v>
      </c>
      <c r="AC95" s="30"/>
      <c r="AD95" s="47">
        <f t="shared" si="42"/>
        <v>0</v>
      </c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>
        <f t="shared" si="43"/>
        <v>0</v>
      </c>
    </row>
    <row r="96" spans="2:49" ht="12.75">
      <c r="B96" s="273" t="s">
        <v>138</v>
      </c>
      <c r="C96" s="271" t="s">
        <v>139</v>
      </c>
      <c r="D96" s="274">
        <f>0.11+0.016</f>
        <v>0.126</v>
      </c>
      <c r="E96" s="235"/>
      <c r="F96" s="237"/>
      <c r="G96" s="167">
        <v>0.103</v>
      </c>
      <c r="H96" s="81"/>
      <c r="I96" s="12"/>
      <c r="J96" s="12"/>
      <c r="K96" s="12">
        <v>0.005</v>
      </c>
      <c r="L96" s="12"/>
      <c r="M96" s="12">
        <v>0.03</v>
      </c>
      <c r="N96" s="12">
        <v>0.025</v>
      </c>
      <c r="O96" s="12">
        <v>0.021</v>
      </c>
      <c r="P96" s="12">
        <v>0.029</v>
      </c>
      <c r="Q96" s="12">
        <v>0.016</v>
      </c>
      <c r="R96" s="12"/>
      <c r="S96" s="12"/>
      <c r="T96" s="150">
        <f t="shared" si="40"/>
        <v>0.126</v>
      </c>
      <c r="U96" s="151"/>
      <c r="V96" s="223"/>
      <c r="W96" s="29"/>
      <c r="X96" s="29">
        <f>0.09+0.016</f>
        <v>0.106</v>
      </c>
      <c r="Y96" s="29"/>
      <c r="Z96" s="29"/>
      <c r="AA96" s="29"/>
      <c r="AB96" s="29">
        <f t="shared" si="41"/>
        <v>0</v>
      </c>
      <c r="AC96" s="30">
        <v>0.02</v>
      </c>
      <c r="AD96" s="47">
        <f t="shared" si="42"/>
        <v>0.126</v>
      </c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>
        <f t="shared" si="43"/>
        <v>0</v>
      </c>
      <c r="AW96" s="26" t="s">
        <v>158</v>
      </c>
    </row>
    <row r="97" spans="2:48" ht="12.75">
      <c r="B97" s="273" t="s">
        <v>363</v>
      </c>
      <c r="C97" s="271" t="s">
        <v>364</v>
      </c>
      <c r="D97" s="274">
        <f>0.128-0.051</f>
        <v>0.07700000000000001</v>
      </c>
      <c r="E97" s="235"/>
      <c r="F97" s="237"/>
      <c r="G97" s="167">
        <v>0.001</v>
      </c>
      <c r="H97" s="81"/>
      <c r="I97" s="12"/>
      <c r="J97" s="12"/>
      <c r="K97" s="12"/>
      <c r="L97" s="12"/>
      <c r="M97" s="12"/>
      <c r="N97" s="12"/>
      <c r="O97" s="12">
        <v>0.025</v>
      </c>
      <c r="P97" s="12">
        <v>0.025</v>
      </c>
      <c r="Q97" s="12">
        <v>0.027</v>
      </c>
      <c r="R97" s="12"/>
      <c r="S97" s="12"/>
      <c r="T97" s="150">
        <f t="shared" si="40"/>
        <v>0.077</v>
      </c>
      <c r="U97" s="151"/>
      <c r="V97" s="223"/>
      <c r="W97" s="29"/>
      <c r="X97" s="29">
        <f>0.128-0.051</f>
        <v>0.07700000000000001</v>
      </c>
      <c r="Y97" s="29"/>
      <c r="Z97" s="29"/>
      <c r="AA97" s="29"/>
      <c r="AB97" s="29">
        <f t="shared" si="41"/>
        <v>0</v>
      </c>
      <c r="AC97" s="30"/>
      <c r="AD97" s="47">
        <f t="shared" si="42"/>
        <v>0.07700000000000001</v>
      </c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>
        <f t="shared" si="43"/>
        <v>0</v>
      </c>
    </row>
    <row r="98" spans="2:49" ht="12.75">
      <c r="B98" s="273" t="s">
        <v>641</v>
      </c>
      <c r="C98" s="271" t="s">
        <v>642</v>
      </c>
      <c r="D98" s="274">
        <v>0.055</v>
      </c>
      <c r="E98" s="235"/>
      <c r="F98" s="237"/>
      <c r="G98" s="167">
        <v>0.001</v>
      </c>
      <c r="H98" s="81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>
        <v>0.055</v>
      </c>
      <c r="T98" s="150">
        <f t="shared" si="40"/>
        <v>0</v>
      </c>
      <c r="U98" s="151"/>
      <c r="V98" s="223"/>
      <c r="W98" s="29"/>
      <c r="X98" s="29"/>
      <c r="Y98" s="29"/>
      <c r="Z98" s="29">
        <v>0.035</v>
      </c>
      <c r="AA98" s="29"/>
      <c r="AB98" s="29">
        <f t="shared" si="41"/>
        <v>0</v>
      </c>
      <c r="AC98" s="30">
        <v>0.02</v>
      </c>
      <c r="AD98" s="47">
        <f t="shared" si="42"/>
        <v>0.05500000000000001</v>
      </c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>
        <f t="shared" si="43"/>
        <v>0</v>
      </c>
      <c r="AW98" s="26" t="s">
        <v>722</v>
      </c>
    </row>
    <row r="99" spans="2:48" ht="12.75">
      <c r="B99" s="273" t="s">
        <v>265</v>
      </c>
      <c r="C99" s="271" t="s">
        <v>264</v>
      </c>
      <c r="D99" s="274">
        <v>0.008</v>
      </c>
      <c r="E99" s="235"/>
      <c r="F99" s="237"/>
      <c r="G99" s="167">
        <v>0.008</v>
      </c>
      <c r="H99" s="8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>
        <v>0.008</v>
      </c>
      <c r="T99" s="150">
        <f t="shared" si="40"/>
        <v>0</v>
      </c>
      <c r="U99" s="151"/>
      <c r="V99" s="223"/>
      <c r="W99" s="29"/>
      <c r="X99" s="29"/>
      <c r="Y99" s="29"/>
      <c r="Z99" s="29">
        <v>0.008</v>
      </c>
      <c r="AA99" s="29"/>
      <c r="AB99" s="29">
        <f t="shared" si="41"/>
        <v>0</v>
      </c>
      <c r="AC99" s="30"/>
      <c r="AD99" s="47">
        <f t="shared" si="42"/>
        <v>0.008</v>
      </c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>
        <f t="shared" si="43"/>
        <v>0</v>
      </c>
    </row>
    <row r="100" spans="2:49" ht="12.75">
      <c r="B100" s="273" t="s">
        <v>550</v>
      </c>
      <c r="C100" s="271" t="s">
        <v>551</v>
      </c>
      <c r="D100" s="274">
        <f>0.13-0.125</f>
        <v>0.0050000000000000044</v>
      </c>
      <c r="E100" s="235"/>
      <c r="F100" s="237"/>
      <c r="G100" s="167">
        <v>0.005</v>
      </c>
      <c r="H100" s="81"/>
      <c r="I100" s="12"/>
      <c r="J100" s="12"/>
      <c r="K100" s="12"/>
      <c r="L100" s="12"/>
      <c r="M100" s="12"/>
      <c r="N100" s="12"/>
      <c r="O100" s="12">
        <f>D100/5</f>
        <v>0.0010000000000000009</v>
      </c>
      <c r="P100" s="12">
        <f>O100</f>
        <v>0.0010000000000000009</v>
      </c>
      <c r="Q100" s="12">
        <f>P100</f>
        <v>0.0010000000000000009</v>
      </c>
      <c r="R100" s="12">
        <f>Q100</f>
        <v>0.0010000000000000009</v>
      </c>
      <c r="S100" s="12">
        <f>R100</f>
        <v>0.0010000000000000009</v>
      </c>
      <c r="T100" s="150">
        <f t="shared" si="40"/>
        <v>0.0030000000000000027</v>
      </c>
      <c r="U100" s="151"/>
      <c r="V100" s="223"/>
      <c r="W100" s="29"/>
      <c r="X100" s="29"/>
      <c r="Y100" s="29"/>
      <c r="Z100" s="29">
        <f>0.12-0.12</f>
        <v>0</v>
      </c>
      <c r="AA100" s="29"/>
      <c r="AB100" s="29">
        <f t="shared" si="41"/>
        <v>0.005</v>
      </c>
      <c r="AC100" s="30"/>
      <c r="AD100" s="47">
        <f t="shared" si="42"/>
        <v>0.005</v>
      </c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>
        <f>0.01-0.005</f>
        <v>0.005</v>
      </c>
      <c r="AV100" s="30">
        <f t="shared" si="43"/>
        <v>0.005</v>
      </c>
      <c r="AW100" s="26" t="s">
        <v>612</v>
      </c>
    </row>
    <row r="101" spans="2:48" ht="12.75">
      <c r="B101" s="273" t="s">
        <v>114</v>
      </c>
      <c r="C101" s="271" t="s">
        <v>115</v>
      </c>
      <c r="D101" s="274">
        <v>0.026</v>
      </c>
      <c r="E101" s="235"/>
      <c r="F101" s="237"/>
      <c r="G101" s="167"/>
      <c r="H101" s="81"/>
      <c r="I101" s="12"/>
      <c r="J101" s="12"/>
      <c r="K101" s="12"/>
      <c r="L101" s="12"/>
      <c r="M101" s="12"/>
      <c r="N101" s="12">
        <v>0.007</v>
      </c>
      <c r="O101" s="12">
        <v>0.007</v>
      </c>
      <c r="P101" s="12">
        <v>0.007</v>
      </c>
      <c r="Q101" s="12">
        <v>0.005</v>
      </c>
      <c r="R101" s="12"/>
      <c r="S101" s="12"/>
      <c r="T101" s="150">
        <f>SUM(H101:Q101)</f>
        <v>0.026000000000000002</v>
      </c>
      <c r="U101" s="151"/>
      <c r="V101" s="223"/>
      <c r="W101" s="29"/>
      <c r="X101" s="29"/>
      <c r="Y101" s="29"/>
      <c r="Z101" s="29"/>
      <c r="AA101" s="29">
        <v>0.026</v>
      </c>
      <c r="AB101" s="29">
        <f t="shared" si="41"/>
        <v>0</v>
      </c>
      <c r="AC101" s="30"/>
      <c r="AD101" s="47">
        <f t="shared" si="42"/>
        <v>0.026</v>
      </c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>
        <f t="shared" si="43"/>
        <v>0</v>
      </c>
    </row>
    <row r="102" spans="2:48" ht="12.75">
      <c r="B102" s="273" t="s">
        <v>116</v>
      </c>
      <c r="C102" s="271" t="s">
        <v>117</v>
      </c>
      <c r="D102" s="274">
        <f>0.025-0.006</f>
        <v>0.019000000000000003</v>
      </c>
      <c r="E102" s="235"/>
      <c r="F102" s="237"/>
      <c r="G102" s="167">
        <v>0.005</v>
      </c>
      <c r="H102" s="81"/>
      <c r="I102" s="12"/>
      <c r="J102" s="12">
        <v>0.005</v>
      </c>
      <c r="K102" s="12"/>
      <c r="L102" s="12"/>
      <c r="M102" s="12">
        <v>0.005</v>
      </c>
      <c r="N102" s="12">
        <v>0.005</v>
      </c>
      <c r="O102" s="12">
        <v>0.004</v>
      </c>
      <c r="P102" s="12"/>
      <c r="Q102" s="12"/>
      <c r="R102" s="12"/>
      <c r="S102" s="12"/>
      <c r="T102" s="150">
        <f t="shared" si="40"/>
        <v>0.019</v>
      </c>
      <c r="U102" s="151"/>
      <c r="V102" s="223"/>
      <c r="W102" s="29"/>
      <c r="X102" s="29"/>
      <c r="Y102" s="29"/>
      <c r="Z102" s="29"/>
      <c r="AA102" s="29">
        <f>0.025-0.006</f>
        <v>0.019000000000000003</v>
      </c>
      <c r="AB102" s="29">
        <f t="shared" si="41"/>
        <v>0</v>
      </c>
      <c r="AC102" s="30"/>
      <c r="AD102" s="47">
        <f t="shared" si="42"/>
        <v>0.019000000000000003</v>
      </c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>
        <f t="shared" si="43"/>
        <v>0</v>
      </c>
    </row>
    <row r="103" spans="2:48" ht="12.75">
      <c r="B103" s="273" t="s">
        <v>120</v>
      </c>
      <c r="C103" s="272" t="s">
        <v>121</v>
      </c>
      <c r="D103" s="274">
        <f>0.05+0.025</f>
        <v>0.07500000000000001</v>
      </c>
      <c r="E103" s="235"/>
      <c r="F103" s="237"/>
      <c r="G103" s="167">
        <v>0.002</v>
      </c>
      <c r="H103" s="81"/>
      <c r="I103" s="12"/>
      <c r="J103" s="12"/>
      <c r="K103" s="12"/>
      <c r="L103" s="12"/>
      <c r="M103" s="12"/>
      <c r="N103" s="12">
        <v>0.008</v>
      </c>
      <c r="O103" s="12">
        <v>0.008</v>
      </c>
      <c r="P103" s="12">
        <v>0.008</v>
      </c>
      <c r="Q103" s="12">
        <v>0.008</v>
      </c>
      <c r="R103" s="12">
        <v>0.008</v>
      </c>
      <c r="S103" s="12">
        <v>0.035</v>
      </c>
      <c r="T103" s="150">
        <f t="shared" si="40"/>
        <v>0.032</v>
      </c>
      <c r="U103" s="151"/>
      <c r="V103" s="223"/>
      <c r="W103" s="29">
        <v>0.008</v>
      </c>
      <c r="X103" s="29"/>
      <c r="Y103" s="29"/>
      <c r="Z103" s="29"/>
      <c r="AA103" s="29">
        <f>0.05+0.025-0.008</f>
        <v>0.067</v>
      </c>
      <c r="AB103" s="29">
        <f t="shared" si="41"/>
        <v>0</v>
      </c>
      <c r="AC103" s="30"/>
      <c r="AD103" s="47">
        <f t="shared" si="42"/>
        <v>0.07500000000000001</v>
      </c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>
        <f t="shared" si="43"/>
        <v>0</v>
      </c>
    </row>
    <row r="104" spans="2:48" ht="12.75">
      <c r="B104" s="273" t="s">
        <v>705</v>
      </c>
      <c r="C104" s="272" t="s">
        <v>706</v>
      </c>
      <c r="D104" s="274">
        <v>0.014</v>
      </c>
      <c r="E104" s="235"/>
      <c r="F104" s="237"/>
      <c r="G104" s="167"/>
      <c r="H104" s="8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>
        <v>0.014</v>
      </c>
      <c r="T104" s="150"/>
      <c r="U104" s="151"/>
      <c r="V104" s="223"/>
      <c r="W104" s="29"/>
      <c r="X104" s="29"/>
      <c r="Y104" s="29"/>
      <c r="Z104" s="29">
        <v>0.014</v>
      </c>
      <c r="AA104" s="29"/>
      <c r="AB104" s="29">
        <f>SUM(AF104:AU104)</f>
        <v>0</v>
      </c>
      <c r="AC104" s="30"/>
      <c r="AD104" s="47">
        <f>SUM(W104:AC104)</f>
        <v>0.014</v>
      </c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</row>
    <row r="105" spans="2:48" ht="12.75">
      <c r="B105" s="273" t="s">
        <v>516</v>
      </c>
      <c r="C105" s="272" t="s">
        <v>517</v>
      </c>
      <c r="D105" s="274">
        <v>0.024</v>
      </c>
      <c r="E105" s="235"/>
      <c r="F105" s="237"/>
      <c r="G105" s="167">
        <v>0.017</v>
      </c>
      <c r="H105" s="81"/>
      <c r="I105" s="12"/>
      <c r="J105" s="12"/>
      <c r="K105" s="12"/>
      <c r="L105" s="12">
        <v>0.008</v>
      </c>
      <c r="M105" s="12">
        <v>0.008</v>
      </c>
      <c r="N105" s="12">
        <v>0.008</v>
      </c>
      <c r="O105" s="12"/>
      <c r="P105" s="12"/>
      <c r="Q105" s="12"/>
      <c r="R105" s="12"/>
      <c r="S105" s="12"/>
      <c r="T105" s="150">
        <f t="shared" si="40"/>
        <v>0.024</v>
      </c>
      <c r="U105" s="151"/>
      <c r="V105" s="223"/>
      <c r="W105" s="29">
        <v>0.02</v>
      </c>
      <c r="X105" s="29"/>
      <c r="Y105" s="29"/>
      <c r="Z105" s="29"/>
      <c r="AA105" s="29">
        <f>0.024-0.02</f>
        <v>0.004</v>
      </c>
      <c r="AB105" s="29">
        <f t="shared" si="41"/>
        <v>0</v>
      </c>
      <c r="AC105" s="30"/>
      <c r="AD105" s="47">
        <f t="shared" si="42"/>
        <v>0.024</v>
      </c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>
        <f t="shared" si="43"/>
        <v>0</v>
      </c>
    </row>
    <row r="106" spans="2:48" ht="12.75">
      <c r="B106" s="273" t="s">
        <v>510</v>
      </c>
      <c r="C106" s="272" t="s">
        <v>511</v>
      </c>
      <c r="D106" s="274">
        <f>3.308-0.808</f>
        <v>2.5</v>
      </c>
      <c r="E106" s="235"/>
      <c r="F106" s="237"/>
      <c r="G106" s="167">
        <v>2.131</v>
      </c>
      <c r="H106" s="81"/>
      <c r="I106" s="12"/>
      <c r="J106" s="12"/>
      <c r="K106" s="12"/>
      <c r="L106" s="12"/>
      <c r="M106" s="12">
        <v>0.925</v>
      </c>
      <c r="N106" s="12">
        <v>0.397</v>
      </c>
      <c r="O106" s="12">
        <v>0.397</v>
      </c>
      <c r="P106" s="12">
        <v>0.397</v>
      </c>
      <c r="Q106" s="12"/>
      <c r="R106" s="12">
        <v>0.384</v>
      </c>
      <c r="S106" s="12"/>
      <c r="T106" s="150">
        <f t="shared" si="40"/>
        <v>2.116</v>
      </c>
      <c r="U106" s="151"/>
      <c r="V106" s="223"/>
      <c r="W106" s="29"/>
      <c r="X106" s="29"/>
      <c r="Y106" s="29">
        <f>3.308-0.808</f>
        <v>2.5</v>
      </c>
      <c r="Z106" s="29"/>
      <c r="AA106" s="29"/>
      <c r="AB106" s="29">
        <f t="shared" si="41"/>
        <v>0</v>
      </c>
      <c r="AC106" s="30"/>
      <c r="AD106" s="47">
        <f t="shared" si="42"/>
        <v>2.5</v>
      </c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>
        <f t="shared" si="43"/>
        <v>0</v>
      </c>
    </row>
    <row r="107" spans="2:48" ht="12.75">
      <c r="B107" s="273" t="s">
        <v>518</v>
      </c>
      <c r="C107" s="272" t="s">
        <v>521</v>
      </c>
      <c r="D107" s="274">
        <f>0.009-0.004</f>
        <v>0.004999999999999999</v>
      </c>
      <c r="E107" s="235"/>
      <c r="F107" s="237"/>
      <c r="G107" s="167">
        <v>0.005</v>
      </c>
      <c r="H107" s="81"/>
      <c r="I107" s="12"/>
      <c r="J107" s="12"/>
      <c r="K107" s="12"/>
      <c r="L107" s="12">
        <v>0.003</v>
      </c>
      <c r="M107" s="12">
        <v>0.002</v>
      </c>
      <c r="N107" s="12"/>
      <c r="O107" s="12"/>
      <c r="P107" s="12"/>
      <c r="Q107" s="12"/>
      <c r="R107" s="12"/>
      <c r="S107" s="12"/>
      <c r="T107" s="150">
        <f t="shared" si="40"/>
        <v>0.005</v>
      </c>
      <c r="U107" s="151"/>
      <c r="V107" s="223"/>
      <c r="W107" s="29">
        <v>0.005</v>
      </c>
      <c r="X107" s="29"/>
      <c r="Y107" s="29"/>
      <c r="Z107" s="29"/>
      <c r="AA107" s="29">
        <f>0.004-0.004</f>
        <v>0</v>
      </c>
      <c r="AB107" s="29">
        <f t="shared" si="41"/>
        <v>0</v>
      </c>
      <c r="AC107" s="30"/>
      <c r="AD107" s="47">
        <f t="shared" si="42"/>
        <v>0.005</v>
      </c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>
        <f t="shared" si="43"/>
        <v>0</v>
      </c>
    </row>
    <row r="108" spans="2:49" ht="12.75">
      <c r="B108" s="273" t="s">
        <v>152</v>
      </c>
      <c r="C108" s="271" t="s">
        <v>153</v>
      </c>
      <c r="D108" s="274">
        <f>0.019+0.01</f>
        <v>0.028999999999999998</v>
      </c>
      <c r="E108" s="235"/>
      <c r="F108" s="237"/>
      <c r="G108" s="167">
        <v>0.027</v>
      </c>
      <c r="H108" s="81">
        <v>0.003</v>
      </c>
      <c r="I108" s="12">
        <v>0.003</v>
      </c>
      <c r="J108" s="12">
        <v>0.003</v>
      </c>
      <c r="K108" s="12">
        <v>0.003</v>
      </c>
      <c r="L108" s="12">
        <v>0.003</v>
      </c>
      <c r="M108" s="12">
        <v>0.004</v>
      </c>
      <c r="N108" s="12"/>
      <c r="O108" s="12"/>
      <c r="P108" s="12">
        <v>0.01</v>
      </c>
      <c r="Q108" s="12"/>
      <c r="R108" s="12"/>
      <c r="S108" s="12"/>
      <c r="T108" s="150">
        <f t="shared" si="40"/>
        <v>0.028999999999999998</v>
      </c>
      <c r="U108" s="151"/>
      <c r="V108" s="223"/>
      <c r="W108" s="29"/>
      <c r="X108" s="29"/>
      <c r="Y108" s="29"/>
      <c r="Z108" s="29"/>
      <c r="AA108" s="29"/>
      <c r="AB108" s="29">
        <f t="shared" si="41"/>
        <v>0</v>
      </c>
      <c r="AC108" s="30">
        <f>0.019+0.01</f>
        <v>0.028999999999999998</v>
      </c>
      <c r="AD108" s="47">
        <f t="shared" si="42"/>
        <v>0.028999999999999998</v>
      </c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>
        <f t="shared" si="43"/>
        <v>0</v>
      </c>
      <c r="AW108" s="26" t="s">
        <v>161</v>
      </c>
    </row>
    <row r="109" spans="2:49" ht="12.75">
      <c r="B109" s="273" t="s">
        <v>154</v>
      </c>
      <c r="C109" s="271" t="s">
        <v>155</v>
      </c>
      <c r="D109" s="274">
        <f>0.031-0.012</f>
        <v>0.019</v>
      </c>
      <c r="E109" s="235"/>
      <c r="F109" s="237"/>
      <c r="G109" s="167">
        <v>0.019</v>
      </c>
      <c r="H109" s="81">
        <v>0.005</v>
      </c>
      <c r="I109" s="12">
        <v>0.005</v>
      </c>
      <c r="J109" s="12">
        <v>0.005</v>
      </c>
      <c r="K109" s="12">
        <v>0.004</v>
      </c>
      <c r="L109" s="12"/>
      <c r="M109" s="12"/>
      <c r="N109" s="12"/>
      <c r="O109" s="12"/>
      <c r="P109" s="12"/>
      <c r="Q109" s="12"/>
      <c r="R109" s="12"/>
      <c r="S109" s="12"/>
      <c r="T109" s="150">
        <f t="shared" si="40"/>
        <v>0.019</v>
      </c>
      <c r="U109" s="151"/>
      <c r="V109" s="223"/>
      <c r="W109" s="29"/>
      <c r="X109" s="29"/>
      <c r="Y109" s="29"/>
      <c r="Z109" s="29"/>
      <c r="AA109" s="29"/>
      <c r="AB109" s="29">
        <f t="shared" si="41"/>
        <v>0</v>
      </c>
      <c r="AC109" s="30">
        <f>0.031-0.012</f>
        <v>0.019</v>
      </c>
      <c r="AD109" s="47">
        <f t="shared" si="42"/>
        <v>0.019</v>
      </c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>
        <f t="shared" si="43"/>
        <v>0</v>
      </c>
      <c r="AW109" s="26" t="s">
        <v>162</v>
      </c>
    </row>
    <row r="110" spans="2:48" ht="12.75">
      <c r="B110" s="273" t="s">
        <v>122</v>
      </c>
      <c r="C110" s="271" t="s">
        <v>123</v>
      </c>
      <c r="D110" s="274">
        <v>0.003</v>
      </c>
      <c r="E110" s="235"/>
      <c r="F110" s="237"/>
      <c r="G110" s="167">
        <v>0.002</v>
      </c>
      <c r="H110" s="81"/>
      <c r="I110" s="12"/>
      <c r="J110" s="12"/>
      <c r="K110" s="12"/>
      <c r="L110" s="12"/>
      <c r="M110" s="12">
        <v>0.003</v>
      </c>
      <c r="N110" s="12"/>
      <c r="O110" s="12"/>
      <c r="P110" s="12"/>
      <c r="Q110" s="12"/>
      <c r="R110" s="12"/>
      <c r="S110" s="12"/>
      <c r="T110" s="150">
        <f t="shared" si="40"/>
        <v>0.003</v>
      </c>
      <c r="U110" s="151"/>
      <c r="V110" s="223"/>
      <c r="W110" s="29"/>
      <c r="X110" s="29"/>
      <c r="Y110" s="29"/>
      <c r="Z110" s="29"/>
      <c r="AA110" s="29">
        <v>0.003</v>
      </c>
      <c r="AB110" s="29">
        <f t="shared" si="41"/>
        <v>0</v>
      </c>
      <c r="AC110" s="30"/>
      <c r="AD110" s="47">
        <f t="shared" si="42"/>
        <v>0.003</v>
      </c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>
        <f t="shared" si="43"/>
        <v>0</v>
      </c>
    </row>
    <row r="111" spans="2:48" ht="12.75">
      <c r="B111" s="273" t="s">
        <v>707</v>
      </c>
      <c r="C111" s="271" t="s">
        <v>708</v>
      </c>
      <c r="D111" s="274">
        <v>0.01</v>
      </c>
      <c r="E111" s="235"/>
      <c r="F111" s="237"/>
      <c r="G111" s="167"/>
      <c r="H111" s="8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>
        <v>0.01</v>
      </c>
      <c r="T111" s="150"/>
      <c r="U111" s="151"/>
      <c r="V111" s="223"/>
      <c r="W111" s="29"/>
      <c r="X111" s="29"/>
      <c r="Y111" s="29"/>
      <c r="Z111" s="29">
        <v>0.01</v>
      </c>
      <c r="AA111" s="29"/>
      <c r="AB111" s="29">
        <f>SUM(AF111:AU111)</f>
        <v>0</v>
      </c>
      <c r="AC111" s="30"/>
      <c r="AD111" s="47">
        <f>SUM(W111:AC111)</f>
        <v>0.01</v>
      </c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</row>
    <row r="112" spans="2:48" ht="12.75">
      <c r="B112" s="273" t="s">
        <v>643</v>
      </c>
      <c r="C112" s="271" t="s">
        <v>644</v>
      </c>
      <c r="D112" s="274">
        <v>0.061</v>
      </c>
      <c r="E112" s="235"/>
      <c r="F112" s="237"/>
      <c r="G112" s="167">
        <v>0.061</v>
      </c>
      <c r="H112" s="8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>
        <v>0.061</v>
      </c>
      <c r="T112" s="150">
        <f t="shared" si="40"/>
        <v>0</v>
      </c>
      <c r="U112" s="151"/>
      <c r="V112" s="223"/>
      <c r="W112" s="29"/>
      <c r="X112" s="29"/>
      <c r="Y112" s="29"/>
      <c r="Z112" s="29">
        <v>0.061</v>
      </c>
      <c r="AA112" s="29"/>
      <c r="AB112" s="29">
        <f t="shared" si="41"/>
        <v>0</v>
      </c>
      <c r="AC112" s="30"/>
      <c r="AD112" s="47">
        <f t="shared" si="42"/>
        <v>0.061</v>
      </c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>
        <f t="shared" si="43"/>
        <v>0</v>
      </c>
    </row>
    <row r="113" spans="2:48" ht="12.75">
      <c r="B113" s="273" t="s">
        <v>718</v>
      </c>
      <c r="C113" s="271" t="s">
        <v>719</v>
      </c>
      <c r="D113" s="274">
        <v>0.09</v>
      </c>
      <c r="E113" s="235"/>
      <c r="F113" s="237"/>
      <c r="G113" s="167"/>
      <c r="H113" s="8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>
        <v>0.09</v>
      </c>
      <c r="T113" s="150"/>
      <c r="U113" s="151"/>
      <c r="V113" s="223"/>
      <c r="W113" s="29"/>
      <c r="X113" s="29"/>
      <c r="Y113" s="29"/>
      <c r="Z113" s="29">
        <v>0.09</v>
      </c>
      <c r="AA113" s="29"/>
      <c r="AB113" s="29">
        <f>SUM(AF113:AU113)</f>
        <v>0</v>
      </c>
      <c r="AC113" s="30"/>
      <c r="AD113" s="47">
        <f>SUM(W113:AC113)</f>
        <v>0.09</v>
      </c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</row>
    <row r="114" spans="2:48" ht="12.75">
      <c r="B114" s="273" t="s">
        <v>163</v>
      </c>
      <c r="C114" s="271" t="s">
        <v>164</v>
      </c>
      <c r="D114" s="274"/>
      <c r="E114" s="235"/>
      <c r="F114" s="237"/>
      <c r="G114" s="167">
        <v>0</v>
      </c>
      <c r="H114" s="8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50">
        <f t="shared" si="40"/>
        <v>0</v>
      </c>
      <c r="U114" s="151"/>
      <c r="V114" s="223"/>
      <c r="W114" s="29"/>
      <c r="X114" s="29"/>
      <c r="Y114" s="29"/>
      <c r="Z114" s="29"/>
      <c r="AA114" s="29"/>
      <c r="AB114" s="29">
        <f t="shared" si="41"/>
        <v>0</v>
      </c>
      <c r="AC114" s="30"/>
      <c r="AD114" s="47">
        <f t="shared" si="42"/>
        <v>0</v>
      </c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>
        <f t="shared" si="43"/>
        <v>0</v>
      </c>
    </row>
    <row r="115" spans="2:48" ht="12.75">
      <c r="B115" s="273" t="s">
        <v>514</v>
      </c>
      <c r="C115" s="271" t="s">
        <v>515</v>
      </c>
      <c r="D115" s="274">
        <v>0.003</v>
      </c>
      <c r="E115" s="235"/>
      <c r="F115" s="237"/>
      <c r="G115" s="167">
        <v>0.003</v>
      </c>
      <c r="H115" s="81">
        <v>0.003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50">
        <f t="shared" si="40"/>
        <v>0.003</v>
      </c>
      <c r="U115" s="151"/>
      <c r="V115" s="223"/>
      <c r="W115" s="29">
        <v>0.003</v>
      </c>
      <c r="X115" s="29"/>
      <c r="Y115" s="29"/>
      <c r="Z115" s="29"/>
      <c r="AA115" s="29"/>
      <c r="AB115" s="29">
        <f t="shared" si="41"/>
        <v>0</v>
      </c>
      <c r="AC115" s="30"/>
      <c r="AD115" s="47">
        <f t="shared" si="42"/>
        <v>0.003</v>
      </c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>
        <f t="shared" si="43"/>
        <v>0</v>
      </c>
    </row>
    <row r="116" spans="2:48" ht="12.75">
      <c r="B116" s="273" t="s">
        <v>124</v>
      </c>
      <c r="C116" s="272" t="s">
        <v>125</v>
      </c>
      <c r="D116" s="274">
        <v>0.016</v>
      </c>
      <c r="E116" s="235"/>
      <c r="F116" s="237"/>
      <c r="G116" s="167"/>
      <c r="H116" s="81"/>
      <c r="I116" s="12"/>
      <c r="J116" s="12"/>
      <c r="K116" s="12"/>
      <c r="L116" s="12"/>
      <c r="M116" s="12">
        <v>0.016</v>
      </c>
      <c r="N116" s="12"/>
      <c r="O116" s="12"/>
      <c r="P116" s="12"/>
      <c r="Q116" s="12"/>
      <c r="R116" s="12"/>
      <c r="S116" s="12"/>
      <c r="T116" s="150">
        <f t="shared" si="40"/>
        <v>0.016</v>
      </c>
      <c r="U116" s="151"/>
      <c r="V116" s="223"/>
      <c r="W116" s="29"/>
      <c r="X116" s="29"/>
      <c r="Y116" s="29"/>
      <c r="Z116" s="29"/>
      <c r="AA116" s="29">
        <v>0.016</v>
      </c>
      <c r="AB116" s="29">
        <f t="shared" si="41"/>
        <v>0</v>
      </c>
      <c r="AC116" s="30"/>
      <c r="AD116" s="47">
        <f aca="true" t="shared" si="44" ref="AD116:AD132">SUM(W116:AC116)</f>
        <v>0.016</v>
      </c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>
        <f t="shared" si="43"/>
        <v>0</v>
      </c>
    </row>
    <row r="117" spans="2:48" ht="12.75">
      <c r="B117" s="273" t="s">
        <v>97</v>
      </c>
      <c r="C117" s="272" t="s">
        <v>98</v>
      </c>
      <c r="D117" s="274">
        <v>0.002</v>
      </c>
      <c r="E117" s="235"/>
      <c r="F117" s="237"/>
      <c r="G117" s="167">
        <v>0.002</v>
      </c>
      <c r="H117" s="8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>
        <v>0.002</v>
      </c>
      <c r="T117" s="150">
        <f t="shared" si="40"/>
        <v>0</v>
      </c>
      <c r="U117" s="151"/>
      <c r="V117" s="223"/>
      <c r="W117" s="29"/>
      <c r="X117" s="29"/>
      <c r="Y117" s="29"/>
      <c r="Z117" s="29">
        <v>0.002</v>
      </c>
      <c r="AA117" s="29"/>
      <c r="AB117" s="29">
        <f t="shared" si="41"/>
        <v>0</v>
      </c>
      <c r="AC117" s="30"/>
      <c r="AD117" s="47">
        <f t="shared" si="44"/>
        <v>0.002</v>
      </c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>
        <f t="shared" si="43"/>
        <v>0</v>
      </c>
    </row>
    <row r="118" spans="2:48" ht="12.75">
      <c r="B118" s="273" t="s">
        <v>723</v>
      </c>
      <c r="C118" s="272" t="s">
        <v>724</v>
      </c>
      <c r="D118" s="274">
        <v>0.08</v>
      </c>
      <c r="E118" s="235"/>
      <c r="F118" s="237"/>
      <c r="G118" s="167"/>
      <c r="H118" s="8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>
        <v>0.08</v>
      </c>
      <c r="T118" s="150"/>
      <c r="U118" s="151"/>
      <c r="V118" s="223"/>
      <c r="W118" s="29">
        <v>0.08</v>
      </c>
      <c r="X118" s="29"/>
      <c r="Y118" s="29"/>
      <c r="Z118" s="29"/>
      <c r="AA118" s="29"/>
      <c r="AB118" s="29">
        <f>SUM(AF118:AU118)</f>
        <v>0</v>
      </c>
      <c r="AC118" s="30"/>
      <c r="AD118" s="47">
        <f>SUM(W118:AC118)</f>
        <v>0.08</v>
      </c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</row>
    <row r="119" spans="2:48" ht="12.75">
      <c r="B119" s="273" t="s">
        <v>134</v>
      </c>
      <c r="C119" s="271" t="s">
        <v>135</v>
      </c>
      <c r="D119" s="274">
        <f>0.137-0.087</f>
        <v>0.05000000000000002</v>
      </c>
      <c r="E119" s="235"/>
      <c r="F119" s="237"/>
      <c r="G119" s="167">
        <v>0.017</v>
      </c>
      <c r="H119" s="8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>
        <v>0.05</v>
      </c>
      <c r="T119" s="150">
        <f t="shared" si="40"/>
        <v>0</v>
      </c>
      <c r="U119" s="151"/>
      <c r="V119" s="223"/>
      <c r="W119" s="29"/>
      <c r="X119" s="29"/>
      <c r="Y119" s="29"/>
      <c r="Z119" s="29"/>
      <c r="AA119" s="29">
        <f>0.1-0.087</f>
        <v>0.013000000000000012</v>
      </c>
      <c r="AB119" s="29">
        <f t="shared" si="41"/>
        <v>0.037</v>
      </c>
      <c r="AC119" s="30"/>
      <c r="AD119" s="47">
        <f t="shared" si="44"/>
        <v>0.05000000000000001</v>
      </c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>
        <v>0.037</v>
      </c>
      <c r="AV119" s="30">
        <f t="shared" si="43"/>
        <v>0.037</v>
      </c>
    </row>
    <row r="120" spans="2:49" ht="12.75">
      <c r="B120" s="273" t="s">
        <v>148</v>
      </c>
      <c r="C120" s="271" t="s">
        <v>149</v>
      </c>
      <c r="D120" s="274">
        <v>0.057</v>
      </c>
      <c r="E120" s="235"/>
      <c r="F120" s="237"/>
      <c r="G120" s="167">
        <v>0</v>
      </c>
      <c r="H120" s="81"/>
      <c r="I120" s="12"/>
      <c r="J120" s="12"/>
      <c r="K120" s="12"/>
      <c r="L120" s="12">
        <v>0.007</v>
      </c>
      <c r="M120" s="12">
        <v>0.007</v>
      </c>
      <c r="N120" s="12">
        <v>0.007</v>
      </c>
      <c r="O120" s="12">
        <v>0.007</v>
      </c>
      <c r="P120" s="12">
        <v>0.007</v>
      </c>
      <c r="Q120" s="12">
        <v>0.007</v>
      </c>
      <c r="R120" s="12">
        <v>0.007</v>
      </c>
      <c r="S120" s="12">
        <v>0.008</v>
      </c>
      <c r="T120" s="150">
        <f t="shared" si="40"/>
        <v>0.042</v>
      </c>
      <c r="U120" s="151"/>
      <c r="V120" s="223"/>
      <c r="W120" s="29"/>
      <c r="X120" s="29"/>
      <c r="Y120" s="29"/>
      <c r="Z120" s="29"/>
      <c r="AA120" s="29"/>
      <c r="AB120" s="29">
        <f t="shared" si="41"/>
        <v>0.057</v>
      </c>
      <c r="AC120" s="30"/>
      <c r="AD120" s="47">
        <f t="shared" si="44"/>
        <v>0.057</v>
      </c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>
        <v>0.057</v>
      </c>
      <c r="AV120" s="30">
        <f t="shared" si="43"/>
        <v>0.057</v>
      </c>
      <c r="AW120" s="26" t="s">
        <v>431</v>
      </c>
    </row>
    <row r="121" spans="2:48" ht="12.75">
      <c r="B121" s="273" t="s">
        <v>136</v>
      </c>
      <c r="C121" s="271" t="s">
        <v>137</v>
      </c>
      <c r="D121" s="274">
        <f>0.248-0.208</f>
        <v>0.04000000000000001</v>
      </c>
      <c r="E121" s="235"/>
      <c r="F121" s="237"/>
      <c r="G121" s="167">
        <v>0.023</v>
      </c>
      <c r="H121" s="81"/>
      <c r="I121" s="12"/>
      <c r="J121" s="12"/>
      <c r="K121" s="12"/>
      <c r="L121" s="12"/>
      <c r="M121" s="12"/>
      <c r="N121" s="12"/>
      <c r="O121" s="12"/>
      <c r="P121" s="12"/>
      <c r="Q121" s="12">
        <v>0.02</v>
      </c>
      <c r="R121" s="12">
        <v>0.02</v>
      </c>
      <c r="S121" s="12"/>
      <c r="T121" s="150">
        <f>SUM(H121:Q121)</f>
        <v>0.02</v>
      </c>
      <c r="U121" s="151"/>
      <c r="V121" s="223"/>
      <c r="W121" s="29"/>
      <c r="X121" s="29"/>
      <c r="Y121" s="29"/>
      <c r="Z121" s="29"/>
      <c r="AA121" s="29">
        <f>0.1-0.1</f>
        <v>0</v>
      </c>
      <c r="AB121" s="29">
        <f t="shared" si="41"/>
        <v>0.039999999999999994</v>
      </c>
      <c r="AC121" s="30"/>
      <c r="AD121" s="47">
        <f t="shared" si="44"/>
        <v>0.039999999999999994</v>
      </c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>
        <f>0.148-0.108</f>
        <v>0.039999999999999994</v>
      </c>
      <c r="AV121" s="30">
        <f t="shared" si="43"/>
        <v>0.039999999999999994</v>
      </c>
    </row>
    <row r="122" spans="2:48" ht="12.75">
      <c r="B122" s="273" t="s">
        <v>150</v>
      </c>
      <c r="C122" s="271" t="s">
        <v>151</v>
      </c>
      <c r="D122" s="274">
        <f>0.086-0.038</f>
        <v>0.047999999999999994</v>
      </c>
      <c r="E122" s="235"/>
      <c r="F122" s="237"/>
      <c r="G122" s="167">
        <v>0</v>
      </c>
      <c r="H122" s="81"/>
      <c r="I122" s="12"/>
      <c r="J122" s="12"/>
      <c r="K122" s="12"/>
      <c r="L122" s="12"/>
      <c r="M122" s="12"/>
      <c r="N122" s="12"/>
      <c r="O122" s="12">
        <v>0.006</v>
      </c>
      <c r="P122" s="12">
        <v>0.011</v>
      </c>
      <c r="Q122" s="12">
        <v>0.011</v>
      </c>
      <c r="R122" s="12">
        <v>0.011</v>
      </c>
      <c r="S122" s="12">
        <v>0.009</v>
      </c>
      <c r="T122" s="150">
        <f t="shared" si="40"/>
        <v>0.028</v>
      </c>
      <c r="U122" s="151"/>
      <c r="V122" s="223"/>
      <c r="W122" s="29"/>
      <c r="X122" s="29"/>
      <c r="Y122" s="29"/>
      <c r="Z122" s="29"/>
      <c r="AA122" s="29"/>
      <c r="AB122" s="29">
        <f t="shared" si="41"/>
        <v>0.047999999999999994</v>
      </c>
      <c r="AC122" s="30"/>
      <c r="AD122" s="47">
        <f t="shared" si="44"/>
        <v>0.047999999999999994</v>
      </c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>
        <f>0.086-0.038</f>
        <v>0.047999999999999994</v>
      </c>
      <c r="AV122" s="30">
        <f t="shared" si="43"/>
        <v>0.047999999999999994</v>
      </c>
    </row>
    <row r="123" spans="2:48" ht="12.75">
      <c r="B123" s="273" t="s">
        <v>711</v>
      </c>
      <c r="C123" s="272" t="s">
        <v>712</v>
      </c>
      <c r="D123" s="274">
        <f>0.04-0.018</f>
        <v>0.022000000000000002</v>
      </c>
      <c r="E123" s="235"/>
      <c r="F123" s="237"/>
      <c r="G123" s="167"/>
      <c r="H123" s="8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>
        <v>0.022</v>
      </c>
      <c r="T123" s="150"/>
      <c r="U123" s="151"/>
      <c r="V123" s="223"/>
      <c r="W123" s="29"/>
      <c r="X123" s="29"/>
      <c r="Y123" s="29"/>
      <c r="Z123" s="29">
        <f>0.04-0.018</f>
        <v>0.022000000000000002</v>
      </c>
      <c r="AA123" s="29"/>
      <c r="AB123" s="29">
        <f t="shared" si="41"/>
        <v>0</v>
      </c>
      <c r="AC123" s="30"/>
      <c r="AD123" s="47">
        <f t="shared" si="44"/>
        <v>0.022000000000000002</v>
      </c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</row>
    <row r="124" spans="2:48" ht="12.75">
      <c r="B124" s="273" t="s">
        <v>720</v>
      </c>
      <c r="C124" s="272" t="s">
        <v>721</v>
      </c>
      <c r="D124" s="274">
        <v>0.004</v>
      </c>
      <c r="E124" s="235"/>
      <c r="F124" s="237"/>
      <c r="G124" s="167"/>
      <c r="H124" s="8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>
        <v>0.004</v>
      </c>
      <c r="T124" s="150"/>
      <c r="U124" s="151"/>
      <c r="V124" s="223"/>
      <c r="W124" s="29"/>
      <c r="X124" s="29"/>
      <c r="Y124" s="29"/>
      <c r="Z124" s="29">
        <v>0.004</v>
      </c>
      <c r="AA124" s="29"/>
      <c r="AB124" s="29">
        <f>SUM(AF124:AU124)</f>
        <v>0</v>
      </c>
      <c r="AC124" s="30"/>
      <c r="AD124" s="47">
        <f>SUM(W124:AC124)</f>
        <v>0.004</v>
      </c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</row>
    <row r="125" spans="2:49" ht="12.75">
      <c r="B125" s="273" t="s">
        <v>140</v>
      </c>
      <c r="C125" s="271" t="s">
        <v>141</v>
      </c>
      <c r="D125" s="274">
        <v>0.002</v>
      </c>
      <c r="E125" s="235"/>
      <c r="F125" s="237"/>
      <c r="G125" s="167">
        <v>0</v>
      </c>
      <c r="H125" s="81"/>
      <c r="I125" s="12"/>
      <c r="J125" s="12"/>
      <c r="K125" s="12">
        <v>0.002</v>
      </c>
      <c r="L125" s="12"/>
      <c r="M125" s="12"/>
      <c r="N125" s="12"/>
      <c r="O125" s="12"/>
      <c r="P125" s="12"/>
      <c r="Q125" s="12"/>
      <c r="R125" s="12"/>
      <c r="S125" s="12"/>
      <c r="T125" s="150">
        <f t="shared" si="40"/>
        <v>0.002</v>
      </c>
      <c r="U125" s="151"/>
      <c r="V125" s="223"/>
      <c r="W125" s="29"/>
      <c r="X125" s="29"/>
      <c r="Y125" s="29"/>
      <c r="Z125" s="29"/>
      <c r="AA125" s="29"/>
      <c r="AB125" s="29">
        <f t="shared" si="41"/>
        <v>0</v>
      </c>
      <c r="AC125" s="30">
        <v>0.002</v>
      </c>
      <c r="AD125" s="47">
        <f t="shared" si="44"/>
        <v>0.002</v>
      </c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>
        <f t="shared" si="43"/>
        <v>0</v>
      </c>
      <c r="AW125" s="26" t="s">
        <v>159</v>
      </c>
    </row>
    <row r="126" spans="2:49" ht="12.75">
      <c r="B126" s="273" t="s">
        <v>142</v>
      </c>
      <c r="C126" s="271" t="s">
        <v>143</v>
      </c>
      <c r="D126" s="274">
        <v>0.002</v>
      </c>
      <c r="E126" s="235"/>
      <c r="F126" s="237"/>
      <c r="G126" s="167">
        <v>0</v>
      </c>
      <c r="H126" s="81"/>
      <c r="I126" s="12"/>
      <c r="J126" s="12"/>
      <c r="K126" s="12">
        <v>0.002</v>
      </c>
      <c r="L126" s="12"/>
      <c r="M126" s="12"/>
      <c r="N126" s="12"/>
      <c r="O126" s="12"/>
      <c r="P126" s="12"/>
      <c r="Q126" s="12"/>
      <c r="R126" s="12"/>
      <c r="S126" s="12"/>
      <c r="T126" s="150">
        <f t="shared" si="40"/>
        <v>0.002</v>
      </c>
      <c r="U126" s="151"/>
      <c r="V126" s="223"/>
      <c r="W126" s="29"/>
      <c r="X126" s="29"/>
      <c r="Y126" s="29"/>
      <c r="Z126" s="29"/>
      <c r="AA126" s="29"/>
      <c r="AB126" s="29">
        <f t="shared" si="41"/>
        <v>0</v>
      </c>
      <c r="AC126" s="30">
        <v>0.002</v>
      </c>
      <c r="AD126" s="47">
        <f t="shared" si="44"/>
        <v>0.002</v>
      </c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>
        <f t="shared" si="43"/>
        <v>0</v>
      </c>
      <c r="AW126" s="26" t="s">
        <v>159</v>
      </c>
    </row>
    <row r="127" spans="2:49" ht="12.75">
      <c r="B127" s="273" t="s">
        <v>144</v>
      </c>
      <c r="C127" s="271" t="s">
        <v>145</v>
      </c>
      <c r="D127" s="274">
        <f>0.006-0.002</f>
        <v>0.004</v>
      </c>
      <c r="E127" s="235"/>
      <c r="F127" s="237"/>
      <c r="G127" s="167">
        <v>0.003</v>
      </c>
      <c r="H127" s="81"/>
      <c r="I127" s="12"/>
      <c r="J127" s="12">
        <v>0.001</v>
      </c>
      <c r="K127" s="12">
        <v>0.003</v>
      </c>
      <c r="L127" s="12"/>
      <c r="M127" s="12"/>
      <c r="N127" s="12"/>
      <c r="O127" s="12"/>
      <c r="P127" s="12"/>
      <c r="Q127" s="12"/>
      <c r="R127" s="12"/>
      <c r="S127" s="12"/>
      <c r="T127" s="150">
        <f t="shared" si="40"/>
        <v>0.004</v>
      </c>
      <c r="U127" s="151"/>
      <c r="V127" s="223"/>
      <c r="W127" s="29"/>
      <c r="X127" s="29"/>
      <c r="Y127" s="29"/>
      <c r="Z127" s="29"/>
      <c r="AA127" s="29"/>
      <c r="AB127" s="29">
        <f t="shared" si="41"/>
        <v>0</v>
      </c>
      <c r="AC127" s="30">
        <f>0.006-0.002</f>
        <v>0.004</v>
      </c>
      <c r="AD127" s="47">
        <f t="shared" si="44"/>
        <v>0.004</v>
      </c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>
        <f t="shared" si="43"/>
        <v>0</v>
      </c>
      <c r="AW127" s="26" t="s">
        <v>160</v>
      </c>
    </row>
    <row r="128" spans="2:48" ht="12.75">
      <c r="B128" s="273" t="s">
        <v>118</v>
      </c>
      <c r="C128" s="271" t="s">
        <v>119</v>
      </c>
      <c r="D128" s="274">
        <v>0.002</v>
      </c>
      <c r="E128" s="235"/>
      <c r="F128" s="237"/>
      <c r="G128" s="167"/>
      <c r="H128" s="8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>
        <v>0.002</v>
      </c>
      <c r="T128" s="150">
        <f t="shared" si="40"/>
        <v>0</v>
      </c>
      <c r="U128" s="151"/>
      <c r="V128" s="223"/>
      <c r="W128" s="29">
        <v>0.002</v>
      </c>
      <c r="X128" s="29"/>
      <c r="Y128" s="29"/>
      <c r="Z128" s="29"/>
      <c r="AA128" s="29"/>
      <c r="AB128" s="29">
        <f t="shared" si="41"/>
        <v>0</v>
      </c>
      <c r="AC128" s="30"/>
      <c r="AD128" s="47">
        <f t="shared" si="44"/>
        <v>0.002</v>
      </c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>
        <f t="shared" si="43"/>
        <v>0</v>
      </c>
    </row>
    <row r="129" spans="2:48" ht="12.75">
      <c r="B129" s="278" t="s">
        <v>126</v>
      </c>
      <c r="C129" s="299" t="s">
        <v>127</v>
      </c>
      <c r="D129" s="274">
        <f>0.008+0.002</f>
        <v>0.01</v>
      </c>
      <c r="E129" s="235"/>
      <c r="F129" s="237"/>
      <c r="G129" s="167">
        <v>0.01</v>
      </c>
      <c r="H129" s="81"/>
      <c r="I129" s="12"/>
      <c r="J129" s="12"/>
      <c r="K129" s="12"/>
      <c r="L129" s="12">
        <v>0.003</v>
      </c>
      <c r="M129" s="12">
        <v>0.003</v>
      </c>
      <c r="N129" s="12">
        <v>0.002</v>
      </c>
      <c r="O129" s="12"/>
      <c r="P129" s="12"/>
      <c r="Q129" s="12"/>
      <c r="R129" s="12"/>
      <c r="S129" s="12">
        <v>0.002</v>
      </c>
      <c r="T129" s="150">
        <f t="shared" si="40"/>
        <v>0.008</v>
      </c>
      <c r="U129" s="151"/>
      <c r="V129" s="223"/>
      <c r="W129" s="29"/>
      <c r="X129" s="29"/>
      <c r="Y129" s="29"/>
      <c r="Z129" s="29"/>
      <c r="AA129" s="29">
        <f>0.008+0.002</f>
        <v>0.01</v>
      </c>
      <c r="AB129" s="29">
        <f t="shared" si="41"/>
        <v>0</v>
      </c>
      <c r="AC129" s="30"/>
      <c r="AD129" s="47">
        <f t="shared" si="44"/>
        <v>0.01</v>
      </c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>
        <f t="shared" si="43"/>
        <v>0</v>
      </c>
    </row>
    <row r="130" spans="2:48" ht="12.75">
      <c r="B130" s="278" t="s">
        <v>128</v>
      </c>
      <c r="C130" s="299" t="s">
        <v>129</v>
      </c>
      <c r="D130" s="274">
        <v>0.008</v>
      </c>
      <c r="E130" s="235"/>
      <c r="F130" s="237"/>
      <c r="G130" s="167"/>
      <c r="H130" s="81"/>
      <c r="I130" s="12"/>
      <c r="J130" s="12"/>
      <c r="K130" s="12"/>
      <c r="L130" s="12"/>
      <c r="M130" s="12">
        <v>0.004</v>
      </c>
      <c r="N130" s="12">
        <v>0.004</v>
      </c>
      <c r="O130" s="12"/>
      <c r="P130" s="12"/>
      <c r="Q130" s="12"/>
      <c r="R130" s="12"/>
      <c r="S130" s="12"/>
      <c r="T130" s="150">
        <f t="shared" si="40"/>
        <v>0.008</v>
      </c>
      <c r="U130" s="151"/>
      <c r="V130" s="223"/>
      <c r="W130" s="29">
        <v>0.008</v>
      </c>
      <c r="X130" s="29"/>
      <c r="Y130" s="29"/>
      <c r="Z130" s="29"/>
      <c r="AA130" s="29"/>
      <c r="AB130" s="29">
        <f t="shared" si="41"/>
        <v>0</v>
      </c>
      <c r="AC130" s="30"/>
      <c r="AD130" s="47">
        <f t="shared" si="44"/>
        <v>0.008</v>
      </c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>
        <f t="shared" si="43"/>
        <v>0</v>
      </c>
    </row>
    <row r="131" spans="2:48" ht="12.75">
      <c r="B131" s="278" t="s">
        <v>130</v>
      </c>
      <c r="C131" s="299" t="s">
        <v>131</v>
      </c>
      <c r="D131" s="274">
        <f>0.02-0.008</f>
        <v>0.012</v>
      </c>
      <c r="E131" s="235"/>
      <c r="F131" s="237"/>
      <c r="G131" s="167"/>
      <c r="H131" s="81"/>
      <c r="I131" s="12"/>
      <c r="J131" s="12"/>
      <c r="K131" s="12"/>
      <c r="L131" s="12"/>
      <c r="M131" s="12"/>
      <c r="N131" s="12">
        <v>0.003</v>
      </c>
      <c r="O131" s="12">
        <v>0.003</v>
      </c>
      <c r="P131" s="12">
        <v>0.003</v>
      </c>
      <c r="Q131" s="12">
        <v>0.003</v>
      </c>
      <c r="R131" s="12"/>
      <c r="S131" s="12"/>
      <c r="T131" s="150">
        <f t="shared" si="40"/>
        <v>0.012</v>
      </c>
      <c r="U131" s="151"/>
      <c r="V131" s="223"/>
      <c r="W131" s="29"/>
      <c r="X131" s="29"/>
      <c r="Y131" s="29"/>
      <c r="Z131" s="29"/>
      <c r="AA131" s="29">
        <f>0.02-0.008</f>
        <v>0.012</v>
      </c>
      <c r="AB131" s="29">
        <f t="shared" si="41"/>
        <v>0</v>
      </c>
      <c r="AC131" s="30"/>
      <c r="AD131" s="47">
        <f t="shared" si="44"/>
        <v>0.012</v>
      </c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>
        <f t="shared" si="43"/>
        <v>0</v>
      </c>
    </row>
    <row r="132" spans="2:48" ht="12.75">
      <c r="B132" s="278" t="s">
        <v>132</v>
      </c>
      <c r="C132" s="299" t="s">
        <v>133</v>
      </c>
      <c r="D132" s="274">
        <f>0.033-0.018</f>
        <v>0.015000000000000003</v>
      </c>
      <c r="E132" s="235"/>
      <c r="F132" s="237"/>
      <c r="G132" s="167"/>
      <c r="H132" s="81"/>
      <c r="I132" s="12"/>
      <c r="J132" s="12"/>
      <c r="K132" s="12"/>
      <c r="L132" s="12"/>
      <c r="M132" s="12"/>
      <c r="N132" s="12"/>
      <c r="O132" s="12"/>
      <c r="P132" s="12"/>
      <c r="Q132" s="12">
        <v>0.006</v>
      </c>
      <c r="R132" s="12">
        <v>0.006</v>
      </c>
      <c r="S132" s="12">
        <v>0.003</v>
      </c>
      <c r="T132" s="150">
        <f t="shared" si="40"/>
        <v>0.006</v>
      </c>
      <c r="U132" s="151"/>
      <c r="V132" s="223"/>
      <c r="W132" s="29">
        <f>0.033-0.018</f>
        <v>0.015000000000000003</v>
      </c>
      <c r="X132" s="29"/>
      <c r="Y132" s="29"/>
      <c r="Z132" s="29"/>
      <c r="AA132" s="29"/>
      <c r="AB132" s="29">
        <f t="shared" si="41"/>
        <v>0</v>
      </c>
      <c r="AC132" s="30"/>
      <c r="AD132" s="47">
        <f t="shared" si="44"/>
        <v>0.015000000000000003</v>
      </c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>
        <f t="shared" si="43"/>
        <v>0</v>
      </c>
    </row>
    <row r="133" spans="2:48" ht="12.75">
      <c r="B133" s="278" t="s">
        <v>709</v>
      </c>
      <c r="C133" s="299" t="s">
        <v>710</v>
      </c>
      <c r="D133" s="274">
        <v>0.009</v>
      </c>
      <c r="E133" s="235"/>
      <c r="F133" s="237"/>
      <c r="G133" s="167"/>
      <c r="H133" s="81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>
        <v>0.009</v>
      </c>
      <c r="T133" s="150"/>
      <c r="U133" s="151"/>
      <c r="V133" s="223"/>
      <c r="W133" s="29"/>
      <c r="X133" s="29"/>
      <c r="Y133" s="29"/>
      <c r="Z133" s="29">
        <v>0.009</v>
      </c>
      <c r="AA133" s="29"/>
      <c r="AB133" s="29">
        <f>SUM(AF133:AU133)</f>
        <v>0</v>
      </c>
      <c r="AC133" s="30"/>
      <c r="AD133" s="47">
        <f>SUM(W133:AC133)</f>
        <v>0.009</v>
      </c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</row>
    <row r="134" spans="2:48" ht="12.75">
      <c r="B134" s="278" t="s">
        <v>713</v>
      </c>
      <c r="C134" s="299" t="s">
        <v>714</v>
      </c>
      <c r="D134" s="274">
        <v>0.015</v>
      </c>
      <c r="E134" s="235"/>
      <c r="F134" s="237"/>
      <c r="G134" s="167"/>
      <c r="H134" s="81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>
        <v>0.015</v>
      </c>
      <c r="T134" s="150"/>
      <c r="U134" s="151"/>
      <c r="V134" s="223"/>
      <c r="W134" s="29"/>
      <c r="X134" s="29"/>
      <c r="Y134" s="29"/>
      <c r="Z134" s="29">
        <v>0.015</v>
      </c>
      <c r="AA134" s="29"/>
      <c r="AB134" s="29">
        <f>SUM(AF134:AU134)</f>
        <v>0</v>
      </c>
      <c r="AC134" s="30"/>
      <c r="AD134" s="47">
        <f>SUM(W134:AC134)</f>
        <v>0.015</v>
      </c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</row>
    <row r="135" spans="2:48" ht="12.75">
      <c r="B135" s="278" t="s">
        <v>715</v>
      </c>
      <c r="C135" s="299" t="s">
        <v>716</v>
      </c>
      <c r="D135" s="274">
        <v>0.032</v>
      </c>
      <c r="E135" s="235"/>
      <c r="F135" s="237"/>
      <c r="G135" s="167"/>
      <c r="H135" s="81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>
        <v>0.032</v>
      </c>
      <c r="T135" s="150"/>
      <c r="U135" s="151"/>
      <c r="V135" s="223"/>
      <c r="W135" s="29"/>
      <c r="X135" s="29"/>
      <c r="Y135" s="29"/>
      <c r="Z135" s="29">
        <v>0.032</v>
      </c>
      <c r="AA135" s="29"/>
      <c r="AB135" s="29">
        <f>SUM(AF135:AU135)</f>
        <v>0</v>
      </c>
      <c r="AC135" s="30"/>
      <c r="AD135" s="47">
        <f>SUM(W135:AC135)</f>
        <v>0.032</v>
      </c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</row>
    <row r="136" spans="2:48" ht="12.75">
      <c r="B136" s="278"/>
      <c r="C136" s="299" t="s">
        <v>717</v>
      </c>
      <c r="D136" s="274">
        <v>0.004</v>
      </c>
      <c r="E136" s="235"/>
      <c r="F136" s="237"/>
      <c r="G136" s="167"/>
      <c r="H136" s="8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>
        <v>0.004</v>
      </c>
      <c r="T136" s="150"/>
      <c r="U136" s="151"/>
      <c r="V136" s="223"/>
      <c r="W136" s="29"/>
      <c r="X136" s="29"/>
      <c r="Y136" s="29"/>
      <c r="Z136" s="29">
        <v>0.004</v>
      </c>
      <c r="AA136" s="29"/>
      <c r="AB136" s="29">
        <f>SUM(AF136:AU136)</f>
        <v>0</v>
      </c>
      <c r="AC136" s="30"/>
      <c r="AD136" s="47">
        <f>SUM(W136:AC136)</f>
        <v>0.004</v>
      </c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</row>
    <row r="137" spans="2:48" ht="12.75">
      <c r="B137" s="278" t="s">
        <v>156</v>
      </c>
      <c r="C137" s="279" t="s">
        <v>157</v>
      </c>
      <c r="D137" s="274">
        <f>0.131+0.034+0.033</f>
        <v>0.198</v>
      </c>
      <c r="E137" s="235"/>
      <c r="F137" s="237"/>
      <c r="G137" s="167">
        <v>0.168</v>
      </c>
      <c r="H137" s="81"/>
      <c r="I137" s="12"/>
      <c r="J137" s="12"/>
      <c r="K137" s="12"/>
      <c r="L137" s="12">
        <v>0.033</v>
      </c>
      <c r="M137" s="12">
        <v>0.033</v>
      </c>
      <c r="N137" s="12">
        <v>0.033</v>
      </c>
      <c r="O137" s="12">
        <v>0.033</v>
      </c>
      <c r="P137" s="12">
        <v>0.033</v>
      </c>
      <c r="Q137" s="12">
        <v>0.033</v>
      </c>
      <c r="R137" s="12"/>
      <c r="S137" s="12"/>
      <c r="T137" s="150">
        <f t="shared" si="40"/>
        <v>0.198</v>
      </c>
      <c r="U137" s="151"/>
      <c r="V137" s="223"/>
      <c r="W137" s="29"/>
      <c r="X137" s="29"/>
      <c r="Y137" s="29"/>
      <c r="Z137" s="29"/>
      <c r="AA137" s="29"/>
      <c r="AB137" s="29">
        <f t="shared" si="41"/>
        <v>0.083</v>
      </c>
      <c r="AC137" s="30">
        <f>0.081+0.034</f>
        <v>0.115</v>
      </c>
      <c r="AD137" s="47">
        <f>SUM(W137:AC137)</f>
        <v>0.198</v>
      </c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>
        <f>0.05+0.033</f>
        <v>0.083</v>
      </c>
      <c r="AV137" s="30">
        <f t="shared" si="43"/>
        <v>0.083</v>
      </c>
    </row>
    <row r="138" spans="3:48" ht="13.5" thickBot="1">
      <c r="C138" s="45"/>
      <c r="D138" s="5"/>
      <c r="E138" s="235"/>
      <c r="F138" s="237"/>
      <c r="G138" s="167"/>
      <c r="H138" s="8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50"/>
      <c r="U138" s="151"/>
      <c r="V138" s="223"/>
      <c r="W138" s="29"/>
      <c r="X138" s="29"/>
      <c r="Y138" s="29"/>
      <c r="Z138" s="29"/>
      <c r="AA138" s="29"/>
      <c r="AB138" s="29"/>
      <c r="AC138" s="30"/>
      <c r="AD138" s="47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</row>
    <row r="139" spans="3:48" ht="13.5" thickBot="1">
      <c r="C139" s="7" t="s">
        <v>595</v>
      </c>
      <c r="D139" s="18">
        <f>SUM(D91:D138)</f>
        <v>3.9189999999999987</v>
      </c>
      <c r="E139" s="242"/>
      <c r="F139" s="243"/>
      <c r="G139" s="310">
        <f aca="true" t="shared" si="45" ref="G139:S139">SUM(G91:G138)</f>
        <v>2.7179999999999995</v>
      </c>
      <c r="H139" s="88">
        <f t="shared" si="45"/>
        <v>0.011</v>
      </c>
      <c r="I139" s="88">
        <f t="shared" si="45"/>
        <v>0.008</v>
      </c>
      <c r="J139" s="88">
        <f t="shared" si="45"/>
        <v>0.014000000000000002</v>
      </c>
      <c r="K139" s="88">
        <f t="shared" si="45"/>
        <v>0.023000000000000003</v>
      </c>
      <c r="L139" s="88">
        <f t="shared" si="45"/>
        <v>0.07600000000000001</v>
      </c>
      <c r="M139" s="88">
        <f t="shared" si="45"/>
        <v>1.0839999999999996</v>
      </c>
      <c r="N139" s="88">
        <f t="shared" si="45"/>
        <v>0.538</v>
      </c>
      <c r="O139" s="88">
        <f t="shared" si="45"/>
        <v>0.516</v>
      </c>
      <c r="P139" s="88">
        <f t="shared" si="45"/>
        <v>0.535</v>
      </c>
      <c r="Q139" s="88">
        <f t="shared" si="45"/>
        <v>0.139</v>
      </c>
      <c r="R139" s="88">
        <f t="shared" si="45"/>
        <v>0.4570000000000001</v>
      </c>
      <c r="S139" s="88">
        <f t="shared" si="45"/>
        <v>0.5180000000000001</v>
      </c>
      <c r="T139" s="18">
        <f>SUM(T91:T128)</f>
        <v>2.7119999999999997</v>
      </c>
      <c r="U139" s="151"/>
      <c r="V139" s="223"/>
      <c r="W139" s="18">
        <f>SUM(W91:W138)</f>
        <v>0.15100000000000002</v>
      </c>
      <c r="X139" s="18">
        <f aca="true" t="shared" si="46" ref="X139:AD139">SUM(X91:X138)</f>
        <v>0.183</v>
      </c>
      <c r="Y139" s="18">
        <f t="shared" si="46"/>
        <v>2.5</v>
      </c>
      <c r="Z139" s="18">
        <f t="shared" si="46"/>
        <v>0.3420000000000001</v>
      </c>
      <c r="AA139" s="18">
        <f t="shared" si="46"/>
        <v>0.17000000000000004</v>
      </c>
      <c r="AB139" s="18">
        <f t="shared" si="46"/>
        <v>0.27</v>
      </c>
      <c r="AC139" s="18">
        <f t="shared" si="46"/>
        <v>0.303</v>
      </c>
      <c r="AD139" s="18">
        <f t="shared" si="46"/>
        <v>3.9189999999999987</v>
      </c>
      <c r="AF139" s="18">
        <f aca="true" t="shared" si="47" ref="AF139:AV139">SUM(AF91:AF128)</f>
        <v>0</v>
      </c>
      <c r="AG139" s="18">
        <f t="shared" si="47"/>
        <v>0</v>
      </c>
      <c r="AH139" s="18">
        <f t="shared" si="47"/>
        <v>0</v>
      </c>
      <c r="AI139" s="18">
        <f t="shared" si="47"/>
        <v>0</v>
      </c>
      <c r="AJ139" s="18">
        <f t="shared" si="47"/>
        <v>0</v>
      </c>
      <c r="AK139" s="18">
        <f t="shared" si="47"/>
        <v>0</v>
      </c>
      <c r="AL139" s="18">
        <f t="shared" si="47"/>
        <v>0</v>
      </c>
      <c r="AM139" s="18">
        <f t="shared" si="47"/>
        <v>0</v>
      </c>
      <c r="AN139" s="18">
        <f t="shared" si="47"/>
        <v>0</v>
      </c>
      <c r="AO139" s="18">
        <f t="shared" si="47"/>
        <v>0</v>
      </c>
      <c r="AP139" s="18">
        <f t="shared" si="47"/>
        <v>0</v>
      </c>
      <c r="AQ139" s="18">
        <f t="shared" si="47"/>
        <v>0</v>
      </c>
      <c r="AR139" s="18">
        <f t="shared" si="47"/>
        <v>0</v>
      </c>
      <c r="AS139" s="18">
        <f t="shared" si="47"/>
        <v>0</v>
      </c>
      <c r="AT139" s="18">
        <f t="shared" si="47"/>
        <v>0</v>
      </c>
      <c r="AU139" s="18">
        <f t="shared" si="47"/>
        <v>0.187</v>
      </c>
      <c r="AV139" s="18">
        <f t="shared" si="47"/>
        <v>0.187</v>
      </c>
    </row>
    <row r="140" spans="3:48" ht="12.75">
      <c r="C140" s="7"/>
      <c r="D140" s="7"/>
      <c r="E140" s="248"/>
      <c r="F140" s="249"/>
      <c r="G140" s="309"/>
      <c r="H140" s="8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86"/>
      <c r="U140" s="151"/>
      <c r="V140" s="223"/>
      <c r="W140" s="29"/>
      <c r="X140" s="29"/>
      <c r="Y140" s="29"/>
      <c r="Z140" s="29"/>
      <c r="AA140" s="29"/>
      <c r="AB140" s="29"/>
      <c r="AC140" s="30"/>
      <c r="AD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</row>
    <row r="141" spans="3:48" ht="12.75">
      <c r="C141" s="7" t="s">
        <v>307</v>
      </c>
      <c r="D141" s="7"/>
      <c r="E141" s="248"/>
      <c r="F141" s="249"/>
      <c r="G141" s="309"/>
      <c r="H141" s="8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9"/>
      <c r="U141" s="151"/>
      <c r="V141" s="223"/>
      <c r="W141" s="29"/>
      <c r="X141" s="29"/>
      <c r="Y141" s="29"/>
      <c r="Z141" s="29"/>
      <c r="AA141" s="29"/>
      <c r="AB141" s="29"/>
      <c r="AC141" s="30"/>
      <c r="AD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</row>
    <row r="142" spans="2:49" ht="12.75">
      <c r="B142" s="26" t="s">
        <v>17</v>
      </c>
      <c r="C142" s="44" t="s">
        <v>341</v>
      </c>
      <c r="D142" s="167">
        <f>0.111-0.1</f>
        <v>0.010999999999999996</v>
      </c>
      <c r="E142" s="244"/>
      <c r="F142" s="245"/>
      <c r="G142" s="167">
        <v>0.002</v>
      </c>
      <c r="H142" s="12">
        <f>D142/12</f>
        <v>0.0009166666666666663</v>
      </c>
      <c r="I142" s="12">
        <f aca="true" t="shared" si="48" ref="I142:S142">H142</f>
        <v>0.0009166666666666663</v>
      </c>
      <c r="J142" s="12">
        <f t="shared" si="48"/>
        <v>0.0009166666666666663</v>
      </c>
      <c r="K142" s="12">
        <f t="shared" si="48"/>
        <v>0.0009166666666666663</v>
      </c>
      <c r="L142" s="12">
        <f t="shared" si="48"/>
        <v>0.0009166666666666663</v>
      </c>
      <c r="M142" s="12">
        <f t="shared" si="48"/>
        <v>0.0009166666666666663</v>
      </c>
      <c r="N142" s="12">
        <f t="shared" si="48"/>
        <v>0.0009166666666666663</v>
      </c>
      <c r="O142" s="12">
        <f t="shared" si="48"/>
        <v>0.0009166666666666663</v>
      </c>
      <c r="P142" s="12">
        <f t="shared" si="48"/>
        <v>0.0009166666666666663</v>
      </c>
      <c r="Q142" s="12">
        <f t="shared" si="48"/>
        <v>0.0009166666666666663</v>
      </c>
      <c r="R142" s="12">
        <f t="shared" si="48"/>
        <v>0.0009166666666666663</v>
      </c>
      <c r="S142" s="12">
        <f t="shared" si="48"/>
        <v>0.0009166666666666663</v>
      </c>
      <c r="T142" s="150">
        <f>SUM(H142:Q142)</f>
        <v>0.009166666666666663</v>
      </c>
      <c r="U142" s="151"/>
      <c r="V142" s="223"/>
      <c r="W142" s="29"/>
      <c r="X142" s="29"/>
      <c r="Y142" s="29"/>
      <c r="Z142" s="29"/>
      <c r="AA142" s="29">
        <f>0.097-0.097</f>
        <v>0</v>
      </c>
      <c r="AB142" s="29">
        <f>SUM(AF142:AU142)</f>
        <v>0</v>
      </c>
      <c r="AC142" s="30">
        <f>0.014-0.003</f>
        <v>0.011</v>
      </c>
      <c r="AD142" s="30">
        <f aca="true" t="shared" si="49" ref="AD142:AD169">SUM(W142:AC142)</f>
        <v>0.011</v>
      </c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>
        <f>SUM(AF142:AU142)</f>
        <v>0</v>
      </c>
      <c r="AW142" s="26" t="s">
        <v>694</v>
      </c>
    </row>
    <row r="143" spans="2:49" ht="12.75">
      <c r="B143" s="26" t="s">
        <v>18</v>
      </c>
      <c r="C143" s="5" t="s">
        <v>372</v>
      </c>
      <c r="D143" s="9">
        <v>0.026</v>
      </c>
      <c r="E143" s="244"/>
      <c r="F143" s="245"/>
      <c r="G143" s="167">
        <v>0.012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>
        <v>0.026</v>
      </c>
      <c r="T143" s="150">
        <f aca="true" t="shared" si="50" ref="T143:T168">SUM(H143:Q143)</f>
        <v>0</v>
      </c>
      <c r="U143" s="151"/>
      <c r="V143" s="223">
        <v>38481</v>
      </c>
      <c r="W143" s="158"/>
      <c r="X143" s="29"/>
      <c r="Y143" s="29"/>
      <c r="Z143" s="29"/>
      <c r="AA143" s="6">
        <f>0.02-0.003</f>
        <v>0.017</v>
      </c>
      <c r="AB143" s="29">
        <f aca="true" t="shared" si="51" ref="AB143:AB169">SUM(AF143:AU143)</f>
        <v>0.006</v>
      </c>
      <c r="AC143" s="26">
        <v>0.003</v>
      </c>
      <c r="AD143" s="30">
        <f t="shared" si="49"/>
        <v>0.026</v>
      </c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>
        <v>0.006</v>
      </c>
      <c r="AV143" s="30">
        <f aca="true" t="shared" si="52" ref="AV143:AV169">SUM(AF143:AU143)</f>
        <v>0.006</v>
      </c>
      <c r="AW143" s="26" t="s">
        <v>693</v>
      </c>
    </row>
    <row r="144" spans="2:48" ht="12.75">
      <c r="B144" s="26" t="s">
        <v>526</v>
      </c>
      <c r="C144" s="5" t="s">
        <v>527</v>
      </c>
      <c r="D144" s="12">
        <v>0.017</v>
      </c>
      <c r="E144" s="244"/>
      <c r="F144" s="245"/>
      <c r="G144" s="167">
        <v>0.014</v>
      </c>
      <c r="H144" s="12">
        <f aca="true" t="shared" si="53" ref="H144:H168">D144/12</f>
        <v>0.0014166666666666668</v>
      </c>
      <c r="I144" s="12">
        <f aca="true" t="shared" si="54" ref="I144:N168">H144</f>
        <v>0.0014166666666666668</v>
      </c>
      <c r="J144" s="12">
        <f t="shared" si="54"/>
        <v>0.0014166666666666668</v>
      </c>
      <c r="K144" s="12">
        <f t="shared" si="54"/>
        <v>0.0014166666666666668</v>
      </c>
      <c r="L144" s="12">
        <f t="shared" si="54"/>
        <v>0.0014166666666666668</v>
      </c>
      <c r="M144" s="12">
        <f t="shared" si="54"/>
        <v>0.0014166666666666668</v>
      </c>
      <c r="N144" s="12">
        <f t="shared" si="54"/>
        <v>0.0014166666666666668</v>
      </c>
      <c r="O144" s="12">
        <f aca="true" t="shared" si="55" ref="O144:S145">N144</f>
        <v>0.0014166666666666668</v>
      </c>
      <c r="P144" s="12">
        <f t="shared" si="55"/>
        <v>0.0014166666666666668</v>
      </c>
      <c r="Q144" s="12">
        <f t="shared" si="55"/>
        <v>0.0014166666666666668</v>
      </c>
      <c r="R144" s="12">
        <f t="shared" si="55"/>
        <v>0.0014166666666666668</v>
      </c>
      <c r="S144" s="12">
        <f t="shared" si="55"/>
        <v>0.0014166666666666668</v>
      </c>
      <c r="T144" s="150">
        <f t="shared" si="50"/>
        <v>0.014166666666666668</v>
      </c>
      <c r="U144" s="151"/>
      <c r="V144" s="223"/>
      <c r="W144" s="158"/>
      <c r="X144" s="29"/>
      <c r="Y144" s="29"/>
      <c r="Z144" s="29"/>
      <c r="AA144" s="6">
        <v>0.017</v>
      </c>
      <c r="AB144" s="29">
        <f t="shared" si="51"/>
        <v>0</v>
      </c>
      <c r="AD144" s="30">
        <f t="shared" si="49"/>
        <v>0.017</v>
      </c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>
        <f t="shared" si="52"/>
        <v>0</v>
      </c>
    </row>
    <row r="145" spans="2:49" ht="12.75">
      <c r="B145" s="26" t="s">
        <v>528</v>
      </c>
      <c r="C145" s="5" t="s">
        <v>529</v>
      </c>
      <c r="D145" s="12">
        <f>0.27+0.002</f>
        <v>0.272</v>
      </c>
      <c r="E145" s="140"/>
      <c r="F145" s="140"/>
      <c r="G145" s="167">
        <v>0.238</v>
      </c>
      <c r="H145" s="12">
        <f t="shared" si="53"/>
        <v>0.02266666666666667</v>
      </c>
      <c r="I145" s="12">
        <f t="shared" si="54"/>
        <v>0.02266666666666667</v>
      </c>
      <c r="J145" s="12">
        <f t="shared" si="54"/>
        <v>0.02266666666666667</v>
      </c>
      <c r="K145" s="12">
        <f t="shared" si="54"/>
        <v>0.02266666666666667</v>
      </c>
      <c r="L145" s="12">
        <f t="shared" si="54"/>
        <v>0.02266666666666667</v>
      </c>
      <c r="M145" s="12">
        <f t="shared" si="54"/>
        <v>0.02266666666666667</v>
      </c>
      <c r="N145" s="12">
        <f t="shared" si="54"/>
        <v>0.02266666666666667</v>
      </c>
      <c r="O145" s="12">
        <f t="shared" si="55"/>
        <v>0.02266666666666667</v>
      </c>
      <c r="P145" s="12">
        <f t="shared" si="55"/>
        <v>0.02266666666666667</v>
      </c>
      <c r="Q145" s="12">
        <f t="shared" si="55"/>
        <v>0.02266666666666667</v>
      </c>
      <c r="R145" s="12">
        <f t="shared" si="55"/>
        <v>0.02266666666666667</v>
      </c>
      <c r="S145" s="12">
        <f t="shared" si="55"/>
        <v>0.02266666666666667</v>
      </c>
      <c r="T145" s="150">
        <f t="shared" si="50"/>
        <v>0.22666666666666668</v>
      </c>
      <c r="U145" s="151"/>
      <c r="V145" s="223"/>
      <c r="W145" s="158"/>
      <c r="X145" s="29"/>
      <c r="Y145" s="29"/>
      <c r="Z145" s="29"/>
      <c r="AA145" s="6">
        <f>0.1+0.034</f>
        <v>0.134</v>
      </c>
      <c r="AB145" s="29">
        <f t="shared" si="51"/>
        <v>0</v>
      </c>
      <c r="AC145" s="26">
        <f>0.17-0.032</f>
        <v>0.138</v>
      </c>
      <c r="AD145" s="30">
        <f t="shared" si="49"/>
        <v>0.272</v>
      </c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>
        <f t="shared" si="52"/>
        <v>0</v>
      </c>
      <c r="AW145" s="26" t="s">
        <v>599</v>
      </c>
    </row>
    <row r="146" spans="2:48" ht="12.75">
      <c r="B146" s="26" t="s">
        <v>530</v>
      </c>
      <c r="C146" s="5" t="s">
        <v>509</v>
      </c>
      <c r="D146" s="9">
        <v>0.101</v>
      </c>
      <c r="E146" s="244"/>
      <c r="F146" s="245"/>
      <c r="G146" s="167">
        <v>0.073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>
        <v>0.101</v>
      </c>
      <c r="T146" s="150">
        <f t="shared" si="50"/>
        <v>0</v>
      </c>
      <c r="U146" s="151"/>
      <c r="V146" s="223">
        <v>38379</v>
      </c>
      <c r="W146" s="158"/>
      <c r="X146" s="29"/>
      <c r="Y146" s="29"/>
      <c r="Z146" s="29">
        <v>0.003</v>
      </c>
      <c r="AB146" s="29">
        <f t="shared" si="51"/>
        <v>0.098</v>
      </c>
      <c r="AD146" s="30">
        <f t="shared" si="49"/>
        <v>0.101</v>
      </c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>
        <v>0.098</v>
      </c>
      <c r="AR146" s="30"/>
      <c r="AS146" s="30"/>
      <c r="AT146" s="30"/>
      <c r="AU146" s="30"/>
      <c r="AV146" s="30">
        <f t="shared" si="52"/>
        <v>0.098</v>
      </c>
    </row>
    <row r="147" spans="2:48" ht="12.75">
      <c r="B147" s="26" t="s">
        <v>571</v>
      </c>
      <c r="C147" s="5" t="s">
        <v>531</v>
      </c>
      <c r="D147" s="12">
        <v>0.066</v>
      </c>
      <c r="E147" s="244"/>
      <c r="F147" s="245"/>
      <c r="G147" s="167">
        <v>0.064</v>
      </c>
      <c r="H147" s="12">
        <f t="shared" si="53"/>
        <v>0.0055000000000000005</v>
      </c>
      <c r="I147" s="12">
        <f t="shared" si="54"/>
        <v>0.0055000000000000005</v>
      </c>
      <c r="J147" s="12">
        <f t="shared" si="54"/>
        <v>0.0055000000000000005</v>
      </c>
      <c r="K147" s="12">
        <f t="shared" si="54"/>
        <v>0.0055000000000000005</v>
      </c>
      <c r="L147" s="12">
        <f t="shared" si="54"/>
        <v>0.0055000000000000005</v>
      </c>
      <c r="M147" s="12">
        <f t="shared" si="54"/>
        <v>0.0055000000000000005</v>
      </c>
      <c r="N147" s="12">
        <f t="shared" si="54"/>
        <v>0.0055000000000000005</v>
      </c>
      <c r="O147" s="12">
        <f aca="true" t="shared" si="56" ref="O147:S157">N147</f>
        <v>0.0055000000000000005</v>
      </c>
      <c r="P147" s="12">
        <f t="shared" si="56"/>
        <v>0.0055000000000000005</v>
      </c>
      <c r="Q147" s="12">
        <f t="shared" si="56"/>
        <v>0.0055000000000000005</v>
      </c>
      <c r="R147" s="12">
        <f t="shared" si="56"/>
        <v>0.0055000000000000005</v>
      </c>
      <c r="S147" s="12">
        <f t="shared" si="56"/>
        <v>0.0055000000000000005</v>
      </c>
      <c r="T147" s="150">
        <f t="shared" si="50"/>
        <v>0.05499999999999999</v>
      </c>
      <c r="U147" s="151"/>
      <c r="V147" s="223"/>
      <c r="W147" s="158"/>
      <c r="X147" s="29"/>
      <c r="Y147" s="29"/>
      <c r="Z147" s="29"/>
      <c r="AB147" s="29">
        <f t="shared" si="51"/>
        <v>0.066</v>
      </c>
      <c r="AD147" s="30">
        <f t="shared" si="49"/>
        <v>0.066</v>
      </c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>
        <v>0.066</v>
      </c>
      <c r="AR147" s="30"/>
      <c r="AS147" s="30"/>
      <c r="AT147" s="30"/>
      <c r="AU147" s="30"/>
      <c r="AV147" s="30">
        <f t="shared" si="52"/>
        <v>0.066</v>
      </c>
    </row>
    <row r="148" spans="2:48" ht="12.75">
      <c r="B148" s="26" t="s">
        <v>571</v>
      </c>
      <c r="C148" s="174" t="s">
        <v>93</v>
      </c>
      <c r="D148" s="284">
        <v>0.08</v>
      </c>
      <c r="E148" s="244"/>
      <c r="F148" s="245"/>
      <c r="G148" s="167">
        <v>0.079</v>
      </c>
      <c r="H148" s="12">
        <f t="shared" si="53"/>
        <v>0.006666666666666667</v>
      </c>
      <c r="I148" s="12">
        <f t="shared" si="54"/>
        <v>0.006666666666666667</v>
      </c>
      <c r="J148" s="12">
        <f t="shared" si="54"/>
        <v>0.006666666666666667</v>
      </c>
      <c r="K148" s="12">
        <f t="shared" si="54"/>
        <v>0.006666666666666667</v>
      </c>
      <c r="L148" s="12">
        <f t="shared" si="54"/>
        <v>0.006666666666666667</v>
      </c>
      <c r="M148" s="12">
        <f t="shared" si="54"/>
        <v>0.006666666666666667</v>
      </c>
      <c r="N148" s="12">
        <f t="shared" si="54"/>
        <v>0.006666666666666667</v>
      </c>
      <c r="O148" s="12">
        <f t="shared" si="56"/>
        <v>0.006666666666666667</v>
      </c>
      <c r="P148" s="12">
        <f t="shared" si="56"/>
        <v>0.006666666666666667</v>
      </c>
      <c r="Q148" s="12">
        <f t="shared" si="56"/>
        <v>0.006666666666666667</v>
      </c>
      <c r="R148" s="12">
        <f t="shared" si="56"/>
        <v>0.006666666666666667</v>
      </c>
      <c r="S148" s="12">
        <f t="shared" si="56"/>
        <v>0.006666666666666667</v>
      </c>
      <c r="T148" s="150">
        <f t="shared" si="50"/>
        <v>0.06666666666666667</v>
      </c>
      <c r="U148" s="151"/>
      <c r="V148" s="223"/>
      <c r="W148" s="158"/>
      <c r="X148" s="29"/>
      <c r="Y148" s="29"/>
      <c r="Z148" s="29"/>
      <c r="AB148" s="29">
        <f t="shared" si="51"/>
        <v>0.08</v>
      </c>
      <c r="AC148" s="188"/>
      <c r="AD148" s="30">
        <f t="shared" si="49"/>
        <v>0.08</v>
      </c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>
        <v>0.08</v>
      </c>
      <c r="AR148" s="30"/>
      <c r="AS148" s="30"/>
      <c r="AT148" s="30"/>
      <c r="AU148" s="30"/>
      <c r="AV148" s="30">
        <f t="shared" si="52"/>
        <v>0.08</v>
      </c>
    </row>
    <row r="149" spans="2:48" ht="12.75">
      <c r="B149" s="26" t="s">
        <v>571</v>
      </c>
      <c r="C149" s="5" t="s">
        <v>532</v>
      </c>
      <c r="D149" s="12">
        <v>0.047</v>
      </c>
      <c r="E149" s="244"/>
      <c r="F149" s="245"/>
      <c r="G149" s="167">
        <v>0.044</v>
      </c>
      <c r="H149" s="12">
        <f t="shared" si="53"/>
        <v>0.003916666666666666</v>
      </c>
      <c r="I149" s="12">
        <f t="shared" si="54"/>
        <v>0.003916666666666666</v>
      </c>
      <c r="J149" s="12">
        <f t="shared" si="54"/>
        <v>0.003916666666666666</v>
      </c>
      <c r="K149" s="12">
        <f t="shared" si="54"/>
        <v>0.003916666666666666</v>
      </c>
      <c r="L149" s="12">
        <f t="shared" si="54"/>
        <v>0.003916666666666666</v>
      </c>
      <c r="M149" s="12">
        <f t="shared" si="54"/>
        <v>0.003916666666666666</v>
      </c>
      <c r="N149" s="12">
        <f t="shared" si="54"/>
        <v>0.003916666666666666</v>
      </c>
      <c r="O149" s="12">
        <f t="shared" si="56"/>
        <v>0.003916666666666666</v>
      </c>
      <c r="P149" s="12">
        <f t="shared" si="56"/>
        <v>0.003916666666666666</v>
      </c>
      <c r="Q149" s="12">
        <f t="shared" si="56"/>
        <v>0.003916666666666666</v>
      </c>
      <c r="R149" s="12">
        <f t="shared" si="56"/>
        <v>0.003916666666666666</v>
      </c>
      <c r="S149" s="12">
        <f t="shared" si="56"/>
        <v>0.003916666666666666</v>
      </c>
      <c r="T149" s="150">
        <f t="shared" si="50"/>
        <v>0.03916666666666666</v>
      </c>
      <c r="U149" s="151"/>
      <c r="V149" s="223"/>
      <c r="W149" s="158"/>
      <c r="X149" s="29"/>
      <c r="Y149" s="29"/>
      <c r="Z149" s="29"/>
      <c r="AB149" s="29">
        <f t="shared" si="51"/>
        <v>0.047</v>
      </c>
      <c r="AD149" s="30">
        <f t="shared" si="49"/>
        <v>0.047</v>
      </c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>
        <v>0.047</v>
      </c>
      <c r="AR149" s="30"/>
      <c r="AS149" s="30"/>
      <c r="AT149" s="30"/>
      <c r="AU149" s="30"/>
      <c r="AV149" s="30">
        <f t="shared" si="52"/>
        <v>0.047</v>
      </c>
    </row>
    <row r="150" spans="2:48" ht="12.75">
      <c r="B150" s="26" t="s">
        <v>571</v>
      </c>
      <c r="C150" s="174" t="s">
        <v>94</v>
      </c>
      <c r="D150" s="284">
        <v>0.129</v>
      </c>
      <c r="E150" s="244"/>
      <c r="F150" s="245"/>
      <c r="G150" s="167">
        <v>0.115</v>
      </c>
      <c r="H150" s="12">
        <f t="shared" si="53"/>
        <v>0.010750000000000001</v>
      </c>
      <c r="I150" s="12">
        <f t="shared" si="54"/>
        <v>0.010750000000000001</v>
      </c>
      <c r="J150" s="12">
        <f t="shared" si="54"/>
        <v>0.010750000000000001</v>
      </c>
      <c r="K150" s="12">
        <f t="shared" si="54"/>
        <v>0.010750000000000001</v>
      </c>
      <c r="L150" s="12">
        <f t="shared" si="54"/>
        <v>0.010750000000000001</v>
      </c>
      <c r="M150" s="12">
        <f t="shared" si="54"/>
        <v>0.010750000000000001</v>
      </c>
      <c r="N150" s="12">
        <f t="shared" si="54"/>
        <v>0.010750000000000001</v>
      </c>
      <c r="O150" s="12">
        <f t="shared" si="56"/>
        <v>0.010750000000000001</v>
      </c>
      <c r="P150" s="12">
        <f t="shared" si="56"/>
        <v>0.010750000000000001</v>
      </c>
      <c r="Q150" s="12">
        <f t="shared" si="56"/>
        <v>0.010750000000000001</v>
      </c>
      <c r="R150" s="12">
        <f t="shared" si="56"/>
        <v>0.010750000000000001</v>
      </c>
      <c r="S150" s="12">
        <f t="shared" si="56"/>
        <v>0.010750000000000001</v>
      </c>
      <c r="T150" s="150">
        <f t="shared" si="50"/>
        <v>0.10749999999999998</v>
      </c>
      <c r="U150" s="151"/>
      <c r="V150" s="223"/>
      <c r="W150" s="158"/>
      <c r="X150" s="29"/>
      <c r="Y150" s="29"/>
      <c r="Z150" s="29"/>
      <c r="AB150" s="29">
        <f t="shared" si="51"/>
        <v>0.129</v>
      </c>
      <c r="AC150" s="188"/>
      <c r="AD150" s="30">
        <f t="shared" si="49"/>
        <v>0.129</v>
      </c>
      <c r="AF150" s="30"/>
      <c r="AG150" s="30"/>
      <c r="AH150" s="30"/>
      <c r="AI150" s="30">
        <v>0.085</v>
      </c>
      <c r="AJ150" s="30"/>
      <c r="AK150" s="30"/>
      <c r="AL150" s="30"/>
      <c r="AM150" s="30"/>
      <c r="AN150" s="30"/>
      <c r="AO150" s="30"/>
      <c r="AP150" s="30"/>
      <c r="AQ150" s="30">
        <v>0.044</v>
      </c>
      <c r="AR150" s="30"/>
      <c r="AS150" s="30"/>
      <c r="AT150" s="30"/>
      <c r="AU150" s="30"/>
      <c r="AV150" s="30">
        <f t="shared" si="52"/>
        <v>0.129</v>
      </c>
    </row>
    <row r="151" spans="2:49" ht="12.75">
      <c r="B151" s="26" t="s">
        <v>617</v>
      </c>
      <c r="C151" s="174" t="s">
        <v>616</v>
      </c>
      <c r="D151" s="284">
        <v>0.017</v>
      </c>
      <c r="E151" s="244"/>
      <c r="F151" s="245"/>
      <c r="G151" s="167">
        <v>0.017</v>
      </c>
      <c r="H151" s="12">
        <f t="shared" si="53"/>
        <v>0.0014166666666666668</v>
      </c>
      <c r="I151" s="12">
        <f t="shared" si="54"/>
        <v>0.0014166666666666668</v>
      </c>
      <c r="J151" s="12">
        <f t="shared" si="54"/>
        <v>0.0014166666666666668</v>
      </c>
      <c r="K151" s="12">
        <f t="shared" si="54"/>
        <v>0.0014166666666666668</v>
      </c>
      <c r="L151" s="12">
        <f t="shared" si="54"/>
        <v>0.0014166666666666668</v>
      </c>
      <c r="M151" s="12">
        <f t="shared" si="54"/>
        <v>0.0014166666666666668</v>
      </c>
      <c r="N151" s="12">
        <f t="shared" si="54"/>
        <v>0.0014166666666666668</v>
      </c>
      <c r="O151" s="12">
        <f t="shared" si="56"/>
        <v>0.0014166666666666668</v>
      </c>
      <c r="P151" s="12">
        <f t="shared" si="56"/>
        <v>0.0014166666666666668</v>
      </c>
      <c r="Q151" s="12">
        <f t="shared" si="56"/>
        <v>0.0014166666666666668</v>
      </c>
      <c r="R151" s="12">
        <f t="shared" si="56"/>
        <v>0.0014166666666666668</v>
      </c>
      <c r="S151" s="12">
        <f t="shared" si="56"/>
        <v>0.0014166666666666668</v>
      </c>
      <c r="T151" s="150">
        <f t="shared" si="50"/>
        <v>0.014166666666666668</v>
      </c>
      <c r="U151" s="151"/>
      <c r="V151" s="223"/>
      <c r="W151" s="158"/>
      <c r="X151" s="29"/>
      <c r="Y151" s="29"/>
      <c r="Z151" s="29"/>
      <c r="AB151" s="29">
        <f t="shared" si="51"/>
        <v>0</v>
      </c>
      <c r="AC151" s="188">
        <v>0.017</v>
      </c>
      <c r="AD151" s="30">
        <f t="shared" si="49"/>
        <v>0.017</v>
      </c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>
        <f t="shared" si="52"/>
        <v>0</v>
      </c>
      <c r="AW151" s="26" t="s">
        <v>603</v>
      </c>
    </row>
    <row r="152" spans="2:48" ht="12.75">
      <c r="B152" s="26" t="s">
        <v>572</v>
      </c>
      <c r="C152" s="174" t="s">
        <v>533</v>
      </c>
      <c r="D152" s="284">
        <v>0.104</v>
      </c>
      <c r="E152" s="244"/>
      <c r="F152" s="245"/>
      <c r="G152" s="167">
        <v>0.094</v>
      </c>
      <c r="H152" s="12">
        <f t="shared" si="53"/>
        <v>0.008666666666666666</v>
      </c>
      <c r="I152" s="12">
        <f t="shared" si="54"/>
        <v>0.008666666666666666</v>
      </c>
      <c r="J152" s="12">
        <f t="shared" si="54"/>
        <v>0.008666666666666666</v>
      </c>
      <c r="K152" s="12">
        <f t="shared" si="54"/>
        <v>0.008666666666666666</v>
      </c>
      <c r="L152" s="12">
        <f t="shared" si="54"/>
        <v>0.008666666666666666</v>
      </c>
      <c r="M152" s="12">
        <f t="shared" si="54"/>
        <v>0.008666666666666666</v>
      </c>
      <c r="N152" s="12">
        <f t="shared" si="54"/>
        <v>0.008666666666666666</v>
      </c>
      <c r="O152" s="12">
        <f t="shared" si="56"/>
        <v>0.008666666666666666</v>
      </c>
      <c r="P152" s="12">
        <f t="shared" si="56"/>
        <v>0.008666666666666666</v>
      </c>
      <c r="Q152" s="12">
        <f t="shared" si="56"/>
        <v>0.008666666666666666</v>
      </c>
      <c r="R152" s="12">
        <f t="shared" si="56"/>
        <v>0.008666666666666666</v>
      </c>
      <c r="S152" s="12">
        <f t="shared" si="56"/>
        <v>0.008666666666666666</v>
      </c>
      <c r="T152" s="150">
        <f t="shared" si="50"/>
        <v>0.08666666666666668</v>
      </c>
      <c r="U152" s="151"/>
      <c r="V152" s="223"/>
      <c r="W152" s="158"/>
      <c r="X152" s="29"/>
      <c r="Y152" s="29"/>
      <c r="Z152" s="29"/>
      <c r="AB152" s="29">
        <f t="shared" si="51"/>
        <v>0.104</v>
      </c>
      <c r="AC152" s="188"/>
      <c r="AD152" s="30">
        <f t="shared" si="49"/>
        <v>0.104</v>
      </c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>
        <v>0.104</v>
      </c>
      <c r="AR152" s="30"/>
      <c r="AS152" s="30"/>
      <c r="AT152" s="30"/>
      <c r="AU152" s="30"/>
      <c r="AV152" s="30">
        <f t="shared" si="52"/>
        <v>0.104</v>
      </c>
    </row>
    <row r="153" spans="2:49" ht="12.75">
      <c r="B153" s="26" t="s">
        <v>22</v>
      </c>
      <c r="C153" s="174" t="s">
        <v>534</v>
      </c>
      <c r="D153" s="284">
        <v>0.093</v>
      </c>
      <c r="E153" s="140"/>
      <c r="F153" s="140"/>
      <c r="G153" s="167">
        <v>0.076</v>
      </c>
      <c r="H153" s="12">
        <f t="shared" si="53"/>
        <v>0.00775</v>
      </c>
      <c r="I153" s="12">
        <f t="shared" si="54"/>
        <v>0.00775</v>
      </c>
      <c r="J153" s="12">
        <f t="shared" si="54"/>
        <v>0.00775</v>
      </c>
      <c r="K153" s="12">
        <f t="shared" si="54"/>
        <v>0.00775</v>
      </c>
      <c r="L153" s="12">
        <f t="shared" si="54"/>
        <v>0.00775</v>
      </c>
      <c r="M153" s="12">
        <f t="shared" si="54"/>
        <v>0.00775</v>
      </c>
      <c r="N153" s="12">
        <f t="shared" si="54"/>
        <v>0.00775</v>
      </c>
      <c r="O153" s="12">
        <f t="shared" si="56"/>
        <v>0.00775</v>
      </c>
      <c r="P153" s="12">
        <f t="shared" si="56"/>
        <v>0.00775</v>
      </c>
      <c r="Q153" s="12">
        <f t="shared" si="56"/>
        <v>0.00775</v>
      </c>
      <c r="R153" s="12">
        <f t="shared" si="56"/>
        <v>0.00775</v>
      </c>
      <c r="S153" s="12">
        <f t="shared" si="56"/>
        <v>0.00775</v>
      </c>
      <c r="T153" s="150">
        <f t="shared" si="50"/>
        <v>0.07750000000000001</v>
      </c>
      <c r="U153" s="151"/>
      <c r="V153" s="223"/>
      <c r="W153" s="158"/>
      <c r="X153" s="29"/>
      <c r="Y153" s="29"/>
      <c r="Z153" s="29"/>
      <c r="AB153" s="29">
        <f t="shared" si="51"/>
        <v>0.077</v>
      </c>
      <c r="AC153" s="188">
        <v>0.016</v>
      </c>
      <c r="AD153" s="30">
        <f t="shared" si="49"/>
        <v>0.093</v>
      </c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>
        <v>0.077</v>
      </c>
      <c r="AR153" s="30"/>
      <c r="AS153" s="30"/>
      <c r="AT153" s="30"/>
      <c r="AU153" s="30"/>
      <c r="AV153" s="30">
        <f t="shared" si="52"/>
        <v>0.077</v>
      </c>
      <c r="AW153" s="26" t="s">
        <v>600</v>
      </c>
    </row>
    <row r="154" spans="2:49" ht="12.75">
      <c r="B154" s="26" t="s">
        <v>535</v>
      </c>
      <c r="C154" s="166" t="s">
        <v>536</v>
      </c>
      <c r="D154" s="284">
        <v>0.028</v>
      </c>
      <c r="E154" s="140"/>
      <c r="F154" s="140"/>
      <c r="G154" s="167">
        <v>0.024</v>
      </c>
      <c r="H154" s="12">
        <f t="shared" si="53"/>
        <v>0.0023333333333333335</v>
      </c>
      <c r="I154" s="12">
        <f t="shared" si="54"/>
        <v>0.0023333333333333335</v>
      </c>
      <c r="J154" s="12">
        <f t="shared" si="54"/>
        <v>0.0023333333333333335</v>
      </c>
      <c r="K154" s="12">
        <f t="shared" si="54"/>
        <v>0.0023333333333333335</v>
      </c>
      <c r="L154" s="12">
        <f t="shared" si="54"/>
        <v>0.0023333333333333335</v>
      </c>
      <c r="M154" s="12">
        <f t="shared" si="54"/>
        <v>0.0023333333333333335</v>
      </c>
      <c r="N154" s="12">
        <f t="shared" si="54"/>
        <v>0.0023333333333333335</v>
      </c>
      <c r="O154" s="12">
        <f t="shared" si="56"/>
        <v>0.0023333333333333335</v>
      </c>
      <c r="P154" s="12">
        <f t="shared" si="56"/>
        <v>0.0023333333333333335</v>
      </c>
      <c r="Q154" s="12">
        <f t="shared" si="56"/>
        <v>0.0023333333333333335</v>
      </c>
      <c r="R154" s="12">
        <f t="shared" si="56"/>
        <v>0.0023333333333333335</v>
      </c>
      <c r="S154" s="12">
        <f t="shared" si="56"/>
        <v>0.0023333333333333335</v>
      </c>
      <c r="T154" s="150">
        <f t="shared" si="50"/>
        <v>0.023333333333333334</v>
      </c>
      <c r="U154" s="151"/>
      <c r="V154" s="223"/>
      <c r="W154" s="158"/>
      <c r="X154" s="29"/>
      <c r="Y154" s="29"/>
      <c r="Z154" s="29">
        <v>0.004</v>
      </c>
      <c r="AB154" s="29">
        <f t="shared" si="51"/>
        <v>0</v>
      </c>
      <c r="AC154" s="188">
        <v>0.024</v>
      </c>
      <c r="AD154" s="30">
        <f t="shared" si="49"/>
        <v>0.028</v>
      </c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>
        <f t="shared" si="52"/>
        <v>0</v>
      </c>
      <c r="AW154" s="26" t="s">
        <v>604</v>
      </c>
    </row>
    <row r="155" spans="2:49" ht="12.75">
      <c r="B155" s="26" t="s">
        <v>19</v>
      </c>
      <c r="C155" s="166" t="s">
        <v>537</v>
      </c>
      <c r="D155" s="284">
        <v>0.04</v>
      </c>
      <c r="E155" s="244"/>
      <c r="F155" s="245"/>
      <c r="G155" s="167">
        <v>0.04</v>
      </c>
      <c r="H155" s="12">
        <f t="shared" si="53"/>
        <v>0.0033333333333333335</v>
      </c>
      <c r="I155" s="12">
        <f t="shared" si="54"/>
        <v>0.0033333333333333335</v>
      </c>
      <c r="J155" s="12">
        <f t="shared" si="54"/>
        <v>0.0033333333333333335</v>
      </c>
      <c r="K155" s="12">
        <f t="shared" si="54"/>
        <v>0.0033333333333333335</v>
      </c>
      <c r="L155" s="12">
        <f t="shared" si="54"/>
        <v>0.0033333333333333335</v>
      </c>
      <c r="M155" s="12">
        <f t="shared" si="54"/>
        <v>0.0033333333333333335</v>
      </c>
      <c r="N155" s="12">
        <f t="shared" si="54"/>
        <v>0.0033333333333333335</v>
      </c>
      <c r="O155" s="12">
        <f t="shared" si="56"/>
        <v>0.0033333333333333335</v>
      </c>
      <c r="P155" s="12">
        <f t="shared" si="56"/>
        <v>0.0033333333333333335</v>
      </c>
      <c r="Q155" s="12">
        <f t="shared" si="56"/>
        <v>0.0033333333333333335</v>
      </c>
      <c r="R155" s="12">
        <f t="shared" si="56"/>
        <v>0.0033333333333333335</v>
      </c>
      <c r="S155" s="12">
        <f t="shared" si="56"/>
        <v>0.0033333333333333335</v>
      </c>
      <c r="T155" s="150">
        <f t="shared" si="50"/>
        <v>0.03333333333333333</v>
      </c>
      <c r="U155" s="151"/>
      <c r="V155" s="223"/>
      <c r="W155" s="158"/>
      <c r="X155" s="29"/>
      <c r="Y155" s="29"/>
      <c r="Z155" s="29"/>
      <c r="AB155" s="29">
        <f t="shared" si="51"/>
        <v>0</v>
      </c>
      <c r="AC155" s="188">
        <v>0.04</v>
      </c>
      <c r="AD155" s="30">
        <f t="shared" si="49"/>
        <v>0.04</v>
      </c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>
        <f t="shared" si="52"/>
        <v>0</v>
      </c>
      <c r="AW155" s="26" t="s">
        <v>429</v>
      </c>
    </row>
    <row r="156" spans="2:49" ht="12.75">
      <c r="B156" s="26" t="s">
        <v>570</v>
      </c>
      <c r="C156" s="166" t="s">
        <v>538</v>
      </c>
      <c r="D156" s="284">
        <v>0.024</v>
      </c>
      <c r="G156" s="166">
        <v>0.024</v>
      </c>
      <c r="H156" s="12">
        <f t="shared" si="53"/>
        <v>0.002</v>
      </c>
      <c r="I156" s="12">
        <f t="shared" si="54"/>
        <v>0.002</v>
      </c>
      <c r="J156" s="12">
        <f t="shared" si="54"/>
        <v>0.002</v>
      </c>
      <c r="K156" s="12">
        <f t="shared" si="54"/>
        <v>0.002</v>
      </c>
      <c r="L156" s="12">
        <f t="shared" si="54"/>
        <v>0.002</v>
      </c>
      <c r="M156" s="12">
        <f t="shared" si="54"/>
        <v>0.002</v>
      </c>
      <c r="N156" s="12">
        <f t="shared" si="54"/>
        <v>0.002</v>
      </c>
      <c r="O156" s="12">
        <f t="shared" si="56"/>
        <v>0.002</v>
      </c>
      <c r="P156" s="12">
        <f t="shared" si="56"/>
        <v>0.002</v>
      </c>
      <c r="Q156" s="12">
        <f t="shared" si="56"/>
        <v>0.002</v>
      </c>
      <c r="R156" s="12">
        <f t="shared" si="56"/>
        <v>0.002</v>
      </c>
      <c r="S156" s="12">
        <f t="shared" si="56"/>
        <v>0.002</v>
      </c>
      <c r="T156" s="150">
        <f t="shared" si="50"/>
        <v>0.020000000000000004</v>
      </c>
      <c r="U156" s="151"/>
      <c r="V156" s="223"/>
      <c r="W156" s="158"/>
      <c r="X156" s="29"/>
      <c r="Y156" s="29"/>
      <c r="Z156" s="29"/>
      <c r="AB156" s="29">
        <f t="shared" si="51"/>
        <v>0</v>
      </c>
      <c r="AC156" s="188">
        <v>0.024</v>
      </c>
      <c r="AD156" s="30">
        <f t="shared" si="49"/>
        <v>0.024</v>
      </c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>
        <f t="shared" si="52"/>
        <v>0</v>
      </c>
      <c r="AW156" s="26" t="s">
        <v>429</v>
      </c>
    </row>
    <row r="157" spans="2:48" ht="12.75">
      <c r="B157" s="26" t="s">
        <v>539</v>
      </c>
      <c r="C157" s="44" t="s">
        <v>540</v>
      </c>
      <c r="D157" s="166">
        <v>0.059</v>
      </c>
      <c r="E157" s="244"/>
      <c r="F157" s="245"/>
      <c r="G157" s="167"/>
      <c r="H157" s="12">
        <f t="shared" si="53"/>
        <v>0.004916666666666666</v>
      </c>
      <c r="I157" s="12">
        <f t="shared" si="54"/>
        <v>0.004916666666666666</v>
      </c>
      <c r="J157" s="12">
        <f t="shared" si="54"/>
        <v>0.004916666666666666</v>
      </c>
      <c r="K157" s="12">
        <f t="shared" si="54"/>
        <v>0.004916666666666666</v>
      </c>
      <c r="L157" s="12">
        <f t="shared" si="54"/>
        <v>0.004916666666666666</v>
      </c>
      <c r="M157" s="12">
        <f t="shared" si="54"/>
        <v>0.004916666666666666</v>
      </c>
      <c r="N157" s="12">
        <f t="shared" si="54"/>
        <v>0.004916666666666666</v>
      </c>
      <c r="O157" s="12">
        <f t="shared" si="56"/>
        <v>0.004916666666666666</v>
      </c>
      <c r="P157" s="12">
        <f t="shared" si="56"/>
        <v>0.004916666666666666</v>
      </c>
      <c r="Q157" s="12">
        <f t="shared" si="56"/>
        <v>0.004916666666666666</v>
      </c>
      <c r="R157" s="12">
        <f t="shared" si="56"/>
        <v>0.004916666666666666</v>
      </c>
      <c r="S157" s="12">
        <f t="shared" si="56"/>
        <v>0.004916666666666666</v>
      </c>
      <c r="T157" s="150">
        <f t="shared" si="50"/>
        <v>0.049166666666666664</v>
      </c>
      <c r="U157" s="151"/>
      <c r="W157" s="29"/>
      <c r="X157" s="29"/>
      <c r="Y157" s="29"/>
      <c r="Z157" s="29"/>
      <c r="AA157" s="29">
        <v>0.059</v>
      </c>
      <c r="AB157" s="29">
        <f t="shared" si="51"/>
        <v>0</v>
      </c>
      <c r="AC157" s="30"/>
      <c r="AD157" s="30">
        <f t="shared" si="49"/>
        <v>0.059</v>
      </c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>
        <f t="shared" si="52"/>
        <v>0</v>
      </c>
    </row>
    <row r="158" spans="2:48" ht="12.75">
      <c r="B158" s="26" t="s">
        <v>20</v>
      </c>
      <c r="C158" s="44" t="s">
        <v>314</v>
      </c>
      <c r="D158" s="166">
        <f>0.184-0.17</f>
        <v>0.013999999999999985</v>
      </c>
      <c r="E158" s="244"/>
      <c r="F158" s="245"/>
      <c r="G158" s="167">
        <v>0.008</v>
      </c>
      <c r="H158" s="12">
        <f t="shared" si="53"/>
        <v>0.0011666666666666655</v>
      </c>
      <c r="I158" s="12">
        <f t="shared" si="54"/>
        <v>0.0011666666666666655</v>
      </c>
      <c r="J158" s="12">
        <f t="shared" si="54"/>
        <v>0.0011666666666666655</v>
      </c>
      <c r="K158" s="12">
        <f t="shared" si="54"/>
        <v>0.0011666666666666655</v>
      </c>
      <c r="L158" s="12">
        <f t="shared" si="54"/>
        <v>0.0011666666666666655</v>
      </c>
      <c r="M158" s="12">
        <f t="shared" si="54"/>
        <v>0.0011666666666666655</v>
      </c>
      <c r="N158" s="12">
        <f t="shared" si="54"/>
        <v>0.0011666666666666655</v>
      </c>
      <c r="O158" s="12">
        <f aca="true" t="shared" si="57" ref="O158:S166">N158</f>
        <v>0.0011666666666666655</v>
      </c>
      <c r="P158" s="12">
        <f t="shared" si="57"/>
        <v>0.0011666666666666655</v>
      </c>
      <c r="Q158" s="12">
        <f t="shared" si="57"/>
        <v>0.0011666666666666655</v>
      </c>
      <c r="R158" s="12">
        <f t="shared" si="57"/>
        <v>0.0011666666666666655</v>
      </c>
      <c r="S158" s="12">
        <f t="shared" si="57"/>
        <v>0.0011666666666666655</v>
      </c>
      <c r="T158" s="150">
        <f t="shared" si="50"/>
        <v>0.011666666666666653</v>
      </c>
      <c r="U158" s="151"/>
      <c r="V158" s="223"/>
      <c r="W158" s="29"/>
      <c r="X158" s="29"/>
      <c r="Y158" s="29"/>
      <c r="Z158" s="29"/>
      <c r="AA158" s="29">
        <f>0.184-0.17</f>
        <v>0.013999999999999985</v>
      </c>
      <c r="AB158" s="29">
        <f t="shared" si="51"/>
        <v>0</v>
      </c>
      <c r="AC158" s="30"/>
      <c r="AD158" s="30">
        <f t="shared" si="49"/>
        <v>0.013999999999999985</v>
      </c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V158" s="30">
        <f t="shared" si="52"/>
        <v>0</v>
      </c>
    </row>
    <row r="159" spans="2:48" ht="12.75">
      <c r="B159" s="26" t="s">
        <v>23</v>
      </c>
      <c r="C159" s="166" t="s">
        <v>541</v>
      </c>
      <c r="D159" s="285">
        <v>0.055</v>
      </c>
      <c r="E159" s="244"/>
      <c r="F159" s="245"/>
      <c r="G159" s="167">
        <v>0.006</v>
      </c>
      <c r="H159" s="12">
        <f t="shared" si="53"/>
        <v>0.004583333333333333</v>
      </c>
      <c r="I159" s="12">
        <f t="shared" si="54"/>
        <v>0.004583333333333333</v>
      </c>
      <c r="J159" s="12">
        <f t="shared" si="54"/>
        <v>0.004583333333333333</v>
      </c>
      <c r="K159" s="12">
        <f t="shared" si="54"/>
        <v>0.004583333333333333</v>
      </c>
      <c r="L159" s="12">
        <f t="shared" si="54"/>
        <v>0.004583333333333333</v>
      </c>
      <c r="M159" s="12">
        <f t="shared" si="54"/>
        <v>0.004583333333333333</v>
      </c>
      <c r="N159" s="12">
        <f t="shared" si="54"/>
        <v>0.004583333333333333</v>
      </c>
      <c r="O159" s="12">
        <f t="shared" si="57"/>
        <v>0.004583333333333333</v>
      </c>
      <c r="P159" s="12">
        <f t="shared" si="57"/>
        <v>0.004583333333333333</v>
      </c>
      <c r="Q159" s="12">
        <f t="shared" si="57"/>
        <v>0.004583333333333333</v>
      </c>
      <c r="R159" s="12">
        <f t="shared" si="57"/>
        <v>0.004583333333333333</v>
      </c>
      <c r="S159" s="12">
        <f t="shared" si="57"/>
        <v>0.004583333333333333</v>
      </c>
      <c r="T159" s="150">
        <f t="shared" si="50"/>
        <v>0.045833333333333344</v>
      </c>
      <c r="U159" s="151"/>
      <c r="V159" s="223"/>
      <c r="W159"/>
      <c r="X159"/>
      <c r="Y159" s="29"/>
      <c r="Z159" s="29"/>
      <c r="AA159">
        <v>0.055</v>
      </c>
      <c r="AB159" s="29">
        <f t="shared" si="51"/>
        <v>0</v>
      </c>
      <c r="AC159"/>
      <c r="AD159" s="30">
        <f t="shared" si="49"/>
        <v>0.055</v>
      </c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>
        <f t="shared" si="52"/>
        <v>0</v>
      </c>
    </row>
    <row r="160" spans="2:48" ht="12.75">
      <c r="B160" s="26" t="s">
        <v>21</v>
      </c>
      <c r="C160" s="44" t="s">
        <v>392</v>
      </c>
      <c r="D160" s="167">
        <v>0.025</v>
      </c>
      <c r="E160" s="244"/>
      <c r="F160" s="245"/>
      <c r="G160" s="167">
        <v>0.027</v>
      </c>
      <c r="H160" s="12">
        <f t="shared" si="53"/>
        <v>0.0020833333333333333</v>
      </c>
      <c r="I160" s="12">
        <f t="shared" si="54"/>
        <v>0.0020833333333333333</v>
      </c>
      <c r="J160" s="12">
        <f t="shared" si="54"/>
        <v>0.0020833333333333333</v>
      </c>
      <c r="K160" s="12">
        <f t="shared" si="54"/>
        <v>0.0020833333333333333</v>
      </c>
      <c r="L160" s="12">
        <f t="shared" si="54"/>
        <v>0.0020833333333333333</v>
      </c>
      <c r="M160" s="12">
        <f t="shared" si="54"/>
        <v>0.0020833333333333333</v>
      </c>
      <c r="N160" s="12">
        <f t="shared" si="54"/>
        <v>0.0020833333333333333</v>
      </c>
      <c r="O160" s="12">
        <f t="shared" si="57"/>
        <v>0.0020833333333333333</v>
      </c>
      <c r="P160" s="12">
        <f t="shared" si="57"/>
        <v>0.0020833333333333333</v>
      </c>
      <c r="Q160" s="12">
        <f t="shared" si="57"/>
        <v>0.0020833333333333333</v>
      </c>
      <c r="R160" s="12">
        <f t="shared" si="57"/>
        <v>0.0020833333333333333</v>
      </c>
      <c r="S160" s="12">
        <f t="shared" si="57"/>
        <v>0.0020833333333333333</v>
      </c>
      <c r="T160" s="150">
        <f t="shared" si="50"/>
        <v>0.020833333333333332</v>
      </c>
      <c r="U160" s="151"/>
      <c r="V160" s="223"/>
      <c r="W160" s="29"/>
      <c r="X160" s="29"/>
      <c r="Y160" s="29"/>
      <c r="Z160" s="29"/>
      <c r="AA160" s="29">
        <v>0.025</v>
      </c>
      <c r="AB160" s="29">
        <f t="shared" si="51"/>
        <v>0</v>
      </c>
      <c r="AC160" s="30"/>
      <c r="AD160" s="30">
        <f t="shared" si="49"/>
        <v>0.025</v>
      </c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>
        <f t="shared" si="52"/>
        <v>0</v>
      </c>
    </row>
    <row r="161" spans="2:48" ht="12.75">
      <c r="B161" s="26" t="s">
        <v>542</v>
      </c>
      <c r="C161" s="174" t="s">
        <v>546</v>
      </c>
      <c r="D161" s="284">
        <v>0.069</v>
      </c>
      <c r="E161" s="244"/>
      <c r="F161" s="245"/>
      <c r="G161" s="167">
        <v>0.036</v>
      </c>
      <c r="H161" s="12">
        <f t="shared" si="53"/>
        <v>0.005750000000000001</v>
      </c>
      <c r="I161" s="12">
        <f t="shared" si="54"/>
        <v>0.005750000000000001</v>
      </c>
      <c r="J161" s="12">
        <f t="shared" si="54"/>
        <v>0.005750000000000001</v>
      </c>
      <c r="K161" s="12">
        <f t="shared" si="54"/>
        <v>0.005750000000000001</v>
      </c>
      <c r="L161" s="12">
        <f t="shared" si="54"/>
        <v>0.005750000000000001</v>
      </c>
      <c r="M161" s="12">
        <f t="shared" si="54"/>
        <v>0.005750000000000001</v>
      </c>
      <c r="N161" s="12">
        <f t="shared" si="54"/>
        <v>0.005750000000000001</v>
      </c>
      <c r="O161" s="12">
        <f t="shared" si="57"/>
        <v>0.005750000000000001</v>
      </c>
      <c r="P161" s="12">
        <f t="shared" si="57"/>
        <v>0.005750000000000001</v>
      </c>
      <c r="Q161" s="12">
        <f t="shared" si="57"/>
        <v>0.005750000000000001</v>
      </c>
      <c r="R161" s="12">
        <f t="shared" si="57"/>
        <v>0.005750000000000001</v>
      </c>
      <c r="S161" s="12">
        <f t="shared" si="57"/>
        <v>0.005750000000000001</v>
      </c>
      <c r="T161" s="150">
        <f t="shared" si="50"/>
        <v>0.057499999999999996</v>
      </c>
      <c r="U161" s="151"/>
      <c r="V161" s="223"/>
      <c r="W161" s="158"/>
      <c r="X161" s="29">
        <v>0.069</v>
      </c>
      <c r="Y161" s="29"/>
      <c r="Z161" s="29"/>
      <c r="AB161" s="29">
        <f t="shared" si="51"/>
        <v>0</v>
      </c>
      <c r="AD161" s="30">
        <f t="shared" si="49"/>
        <v>0.069</v>
      </c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>
        <f t="shared" si="52"/>
        <v>0</v>
      </c>
    </row>
    <row r="162" spans="2:48" ht="12.75">
      <c r="B162" s="26" t="s">
        <v>547</v>
      </c>
      <c r="C162" s="5" t="s">
        <v>382</v>
      </c>
      <c r="D162" s="9">
        <v>0.095</v>
      </c>
      <c r="E162" s="244"/>
      <c r="F162" s="245"/>
      <c r="G162" s="167">
        <v>0.095</v>
      </c>
      <c r="H162" s="12">
        <f t="shared" si="53"/>
        <v>0.007916666666666667</v>
      </c>
      <c r="I162" s="12">
        <f t="shared" si="54"/>
        <v>0.007916666666666667</v>
      </c>
      <c r="J162" s="12">
        <f t="shared" si="54"/>
        <v>0.007916666666666667</v>
      </c>
      <c r="K162" s="12">
        <f t="shared" si="54"/>
        <v>0.007916666666666667</v>
      </c>
      <c r="L162" s="12">
        <f t="shared" si="54"/>
        <v>0.007916666666666667</v>
      </c>
      <c r="M162" s="12">
        <f t="shared" si="54"/>
        <v>0.007916666666666667</v>
      </c>
      <c r="N162" s="12">
        <f t="shared" si="54"/>
        <v>0.007916666666666667</v>
      </c>
      <c r="O162" s="12">
        <f t="shared" si="57"/>
        <v>0.007916666666666667</v>
      </c>
      <c r="P162" s="12">
        <f t="shared" si="57"/>
        <v>0.007916666666666667</v>
      </c>
      <c r="Q162" s="12">
        <f t="shared" si="57"/>
        <v>0.007916666666666667</v>
      </c>
      <c r="R162" s="12">
        <f t="shared" si="57"/>
        <v>0.007916666666666667</v>
      </c>
      <c r="S162" s="12">
        <f t="shared" si="57"/>
        <v>0.007916666666666667</v>
      </c>
      <c r="T162" s="150">
        <f t="shared" si="50"/>
        <v>0.07916666666666668</v>
      </c>
      <c r="U162" s="151"/>
      <c r="V162" s="223"/>
      <c r="W162" s="158"/>
      <c r="X162" s="29"/>
      <c r="Y162" s="29"/>
      <c r="Z162" s="29"/>
      <c r="AB162" s="29">
        <f t="shared" si="51"/>
        <v>0.095</v>
      </c>
      <c r="AD162" s="30">
        <f t="shared" si="49"/>
        <v>0.095</v>
      </c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>
        <v>0.095</v>
      </c>
      <c r="AV162" s="30">
        <f t="shared" si="52"/>
        <v>0.095</v>
      </c>
    </row>
    <row r="163" spans="2:48" ht="12.75">
      <c r="B163" s="26" t="s">
        <v>475</v>
      </c>
      <c r="C163" s="5" t="s">
        <v>474</v>
      </c>
      <c r="D163" s="9"/>
      <c r="E163" s="244"/>
      <c r="F163" s="245"/>
      <c r="G163" s="167">
        <v>0.002</v>
      </c>
      <c r="H163" s="12">
        <f t="shared" si="53"/>
        <v>0</v>
      </c>
      <c r="I163" s="12">
        <f t="shared" si="54"/>
        <v>0</v>
      </c>
      <c r="J163" s="12">
        <f t="shared" si="54"/>
        <v>0</v>
      </c>
      <c r="K163" s="12">
        <f t="shared" si="54"/>
        <v>0</v>
      </c>
      <c r="L163" s="12">
        <f t="shared" si="54"/>
        <v>0</v>
      </c>
      <c r="M163" s="12">
        <f t="shared" si="54"/>
        <v>0</v>
      </c>
      <c r="N163" s="12">
        <f t="shared" si="54"/>
        <v>0</v>
      </c>
      <c r="O163" s="12">
        <f t="shared" si="57"/>
        <v>0</v>
      </c>
      <c r="P163" s="12">
        <f t="shared" si="57"/>
        <v>0</v>
      </c>
      <c r="Q163" s="12">
        <f t="shared" si="57"/>
        <v>0</v>
      </c>
      <c r="R163" s="12">
        <f t="shared" si="57"/>
        <v>0</v>
      </c>
      <c r="S163" s="12">
        <f t="shared" si="57"/>
        <v>0</v>
      </c>
      <c r="T163" s="150">
        <f t="shared" si="50"/>
        <v>0</v>
      </c>
      <c r="U163" s="151"/>
      <c r="V163" s="223"/>
      <c r="W163" s="158"/>
      <c r="X163" s="29"/>
      <c r="Y163" s="29"/>
      <c r="Z163" s="29"/>
      <c r="AB163" s="29">
        <f t="shared" si="51"/>
        <v>0</v>
      </c>
      <c r="AD163" s="30">
        <f t="shared" si="49"/>
        <v>0</v>
      </c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>
        <f t="shared" si="52"/>
        <v>0</v>
      </c>
    </row>
    <row r="164" spans="2:48" ht="12.75">
      <c r="B164" s="26" t="s">
        <v>476</v>
      </c>
      <c r="C164" s="5" t="s">
        <v>477</v>
      </c>
      <c r="D164" s="9">
        <v>0.071</v>
      </c>
      <c r="E164" s="244"/>
      <c r="F164" s="245"/>
      <c r="G164" s="167">
        <v>0.024</v>
      </c>
      <c r="H164" s="12">
        <f>D164/12</f>
        <v>0.005916666666666666</v>
      </c>
      <c r="I164" s="12">
        <f t="shared" si="54"/>
        <v>0.005916666666666666</v>
      </c>
      <c r="J164" s="12">
        <f t="shared" si="54"/>
        <v>0.005916666666666666</v>
      </c>
      <c r="K164" s="12">
        <f t="shared" si="54"/>
        <v>0.005916666666666666</v>
      </c>
      <c r="L164" s="12">
        <f t="shared" si="54"/>
        <v>0.005916666666666666</v>
      </c>
      <c r="M164" s="12">
        <f t="shared" si="54"/>
        <v>0.005916666666666666</v>
      </c>
      <c r="N164" s="12">
        <f t="shared" si="54"/>
        <v>0.005916666666666666</v>
      </c>
      <c r="O164" s="12">
        <f t="shared" si="57"/>
        <v>0.005916666666666666</v>
      </c>
      <c r="P164" s="12">
        <f t="shared" si="57"/>
        <v>0.005916666666666666</v>
      </c>
      <c r="Q164" s="12">
        <f t="shared" si="57"/>
        <v>0.005916666666666666</v>
      </c>
      <c r="R164" s="12">
        <f t="shared" si="57"/>
        <v>0.005916666666666666</v>
      </c>
      <c r="S164" s="12">
        <f t="shared" si="57"/>
        <v>0.005916666666666666</v>
      </c>
      <c r="T164" s="150">
        <f t="shared" si="50"/>
        <v>0.059166666666666666</v>
      </c>
      <c r="U164" s="151"/>
      <c r="V164" s="223"/>
      <c r="W164" s="158"/>
      <c r="X164" s="29">
        <v>0.071</v>
      </c>
      <c r="Y164" s="29"/>
      <c r="Z164" s="29"/>
      <c r="AB164" s="29">
        <f t="shared" si="51"/>
        <v>0</v>
      </c>
      <c r="AD164" s="30">
        <f t="shared" si="49"/>
        <v>0.071</v>
      </c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>
        <f t="shared" si="52"/>
        <v>0</v>
      </c>
    </row>
    <row r="165" spans="2:48" ht="12.75">
      <c r="B165" s="26" t="s">
        <v>618</v>
      </c>
      <c r="C165" s="5" t="s">
        <v>602</v>
      </c>
      <c r="D165" s="9">
        <v>0.032</v>
      </c>
      <c r="E165" s="244"/>
      <c r="F165" s="245"/>
      <c r="G165" s="167"/>
      <c r="H165" s="12">
        <f t="shared" si="53"/>
        <v>0.0026666666666666666</v>
      </c>
      <c r="I165" s="12">
        <f t="shared" si="54"/>
        <v>0.0026666666666666666</v>
      </c>
      <c r="J165" s="12">
        <f t="shared" si="54"/>
        <v>0.0026666666666666666</v>
      </c>
      <c r="K165" s="12">
        <f t="shared" si="54"/>
        <v>0.0026666666666666666</v>
      </c>
      <c r="L165" s="12">
        <f t="shared" si="54"/>
        <v>0.0026666666666666666</v>
      </c>
      <c r="M165" s="12">
        <f t="shared" si="54"/>
        <v>0.0026666666666666666</v>
      </c>
      <c r="N165" s="12">
        <f t="shared" si="54"/>
        <v>0.0026666666666666666</v>
      </c>
      <c r="O165" s="12">
        <f t="shared" si="57"/>
        <v>0.0026666666666666666</v>
      </c>
      <c r="P165" s="12">
        <f t="shared" si="57"/>
        <v>0.0026666666666666666</v>
      </c>
      <c r="Q165" s="12">
        <f t="shared" si="57"/>
        <v>0.0026666666666666666</v>
      </c>
      <c r="R165" s="12">
        <f t="shared" si="57"/>
        <v>0.0026666666666666666</v>
      </c>
      <c r="S165" s="12">
        <f t="shared" si="57"/>
        <v>0.0026666666666666666</v>
      </c>
      <c r="T165" s="150">
        <f t="shared" si="50"/>
        <v>0.026666666666666672</v>
      </c>
      <c r="U165" s="151"/>
      <c r="V165" s="223"/>
      <c r="W165" s="158"/>
      <c r="X165" s="29">
        <v>0.032</v>
      </c>
      <c r="Y165" s="29"/>
      <c r="Z165" s="158"/>
      <c r="AA165" s="158"/>
      <c r="AB165" s="29">
        <f>SUM(AF165:AU165)</f>
        <v>0</v>
      </c>
      <c r="AD165" s="30">
        <f>SUM(W165:AC165)</f>
        <v>0.032</v>
      </c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</row>
    <row r="166" spans="2:48" ht="12.75">
      <c r="B166" s="26" t="s">
        <v>548</v>
      </c>
      <c r="C166" s="5" t="s">
        <v>383</v>
      </c>
      <c r="D166" s="9">
        <v>0.03</v>
      </c>
      <c r="E166" s="244"/>
      <c r="F166" s="245"/>
      <c r="G166" s="167"/>
      <c r="H166" s="12">
        <f t="shared" si="53"/>
        <v>0.0025</v>
      </c>
      <c r="I166" s="12">
        <f t="shared" si="54"/>
        <v>0.0025</v>
      </c>
      <c r="J166" s="12">
        <f t="shared" si="54"/>
        <v>0.0025</v>
      </c>
      <c r="K166" s="12">
        <f t="shared" si="54"/>
        <v>0.0025</v>
      </c>
      <c r="L166" s="12">
        <f t="shared" si="54"/>
        <v>0.0025</v>
      </c>
      <c r="M166" s="12">
        <f t="shared" si="54"/>
        <v>0.0025</v>
      </c>
      <c r="N166" s="12">
        <f t="shared" si="54"/>
        <v>0.0025</v>
      </c>
      <c r="O166" s="12">
        <f t="shared" si="57"/>
        <v>0.0025</v>
      </c>
      <c r="P166" s="12">
        <f t="shared" si="57"/>
        <v>0.0025</v>
      </c>
      <c r="Q166" s="12">
        <f t="shared" si="57"/>
        <v>0.0025</v>
      </c>
      <c r="R166" s="12">
        <f t="shared" si="57"/>
        <v>0.0025</v>
      </c>
      <c r="S166" s="12">
        <f t="shared" si="57"/>
        <v>0.0025</v>
      </c>
      <c r="T166" s="150">
        <f t="shared" si="50"/>
        <v>0.024999999999999998</v>
      </c>
      <c r="U166" s="151"/>
      <c r="V166" s="223"/>
      <c r="W166" s="158"/>
      <c r="X166" s="29"/>
      <c r="Y166" s="29">
        <v>0.03</v>
      </c>
      <c r="Z166" s="158"/>
      <c r="AA166" s="158"/>
      <c r="AB166" s="29">
        <f t="shared" si="51"/>
        <v>0</v>
      </c>
      <c r="AC166" s="188"/>
      <c r="AD166" s="30">
        <f t="shared" si="49"/>
        <v>0.03</v>
      </c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>
        <f t="shared" si="52"/>
        <v>0</v>
      </c>
    </row>
    <row r="167" spans="2:49" ht="12.75">
      <c r="B167" s="26" t="s">
        <v>606</v>
      </c>
      <c r="C167" s="5" t="s">
        <v>605</v>
      </c>
      <c r="D167" s="9">
        <v>0.113</v>
      </c>
      <c r="E167" s="244"/>
      <c r="F167" s="245"/>
      <c r="G167" s="167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>
        <v>0.113</v>
      </c>
      <c r="T167" s="150">
        <f t="shared" si="50"/>
        <v>0</v>
      </c>
      <c r="U167" s="151"/>
      <c r="V167" s="223"/>
      <c r="W167" s="158"/>
      <c r="X167" s="158"/>
      <c r="Y167" s="158"/>
      <c r="Z167" s="158"/>
      <c r="AA167" s="158"/>
      <c r="AB167" s="29">
        <f t="shared" si="51"/>
        <v>0</v>
      </c>
      <c r="AC167" s="188">
        <v>0.113</v>
      </c>
      <c r="AD167" s="30">
        <f t="shared" si="49"/>
        <v>0.113</v>
      </c>
      <c r="AE167" s="226">
        <v>38649</v>
      </c>
      <c r="AI167" s="30"/>
      <c r="AR167" s="30"/>
      <c r="AS167" s="30"/>
      <c r="AT167" s="30"/>
      <c r="AU167" s="30"/>
      <c r="AV167" s="30"/>
      <c r="AW167" s="26" t="s">
        <v>607</v>
      </c>
    </row>
    <row r="168" spans="2:49" ht="12.75">
      <c r="B168" s="26" t="s">
        <v>96</v>
      </c>
      <c r="C168" s="5" t="s">
        <v>95</v>
      </c>
      <c r="D168" s="9">
        <f>0.269-0.108</f>
        <v>0.16100000000000003</v>
      </c>
      <c r="E168" s="244"/>
      <c r="F168" s="245"/>
      <c r="G168" s="167">
        <v>0.021</v>
      </c>
      <c r="H168" s="12">
        <f t="shared" si="53"/>
        <v>0.013416666666666669</v>
      </c>
      <c r="I168" s="12">
        <f t="shared" si="54"/>
        <v>0.013416666666666669</v>
      </c>
      <c r="J168" s="12">
        <f t="shared" si="54"/>
        <v>0.013416666666666669</v>
      </c>
      <c r="K168" s="12">
        <f t="shared" si="54"/>
        <v>0.013416666666666669</v>
      </c>
      <c r="L168" s="12">
        <f t="shared" si="54"/>
        <v>0.013416666666666669</v>
      </c>
      <c r="M168" s="12">
        <f t="shared" si="54"/>
        <v>0.013416666666666669</v>
      </c>
      <c r="N168" s="12">
        <f t="shared" si="54"/>
        <v>0.013416666666666669</v>
      </c>
      <c r="O168" s="12">
        <f>N168</f>
        <v>0.013416666666666669</v>
      </c>
      <c r="P168" s="12">
        <f>O168</f>
        <v>0.013416666666666669</v>
      </c>
      <c r="Q168" s="12">
        <f>P168</f>
        <v>0.013416666666666669</v>
      </c>
      <c r="R168" s="12">
        <f>Q168</f>
        <v>0.013416666666666669</v>
      </c>
      <c r="S168" s="12">
        <f>R168</f>
        <v>0.013416666666666669</v>
      </c>
      <c r="T168" s="150">
        <f t="shared" si="50"/>
        <v>0.1341666666666667</v>
      </c>
      <c r="U168" s="151"/>
      <c r="V168" s="223"/>
      <c r="W168" s="158"/>
      <c r="X168" s="158"/>
      <c r="Y168" s="158"/>
      <c r="Z168" s="158">
        <v>0.03</v>
      </c>
      <c r="AA168" s="158"/>
      <c r="AB168" s="29">
        <f>SUM(AF168:AU168)</f>
        <v>0.122</v>
      </c>
      <c r="AC168" s="188">
        <v>0.009</v>
      </c>
      <c r="AD168" s="30">
        <f t="shared" si="49"/>
        <v>0.161</v>
      </c>
      <c r="AE168" s="226">
        <v>38691</v>
      </c>
      <c r="AI168" s="30"/>
      <c r="AR168" s="30"/>
      <c r="AS168" s="30"/>
      <c r="AT168" s="30"/>
      <c r="AU168" s="30">
        <v>0.122</v>
      </c>
      <c r="AV168" s="30">
        <f>SUM(AF168:AU168)</f>
        <v>0.122</v>
      </c>
      <c r="AW168" s="26" t="s">
        <v>597</v>
      </c>
    </row>
    <row r="169" spans="3:48" ht="13.5" thickBot="1">
      <c r="C169" s="5"/>
      <c r="D169" s="9"/>
      <c r="E169" s="244"/>
      <c r="F169" s="245"/>
      <c r="G169" s="167"/>
      <c r="H169" s="8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50"/>
      <c r="U169" s="151"/>
      <c r="V169" s="223"/>
      <c r="W169" s="158"/>
      <c r="X169" s="158"/>
      <c r="Y169" s="158"/>
      <c r="Z169" s="158"/>
      <c r="AA169" s="158"/>
      <c r="AB169" s="29">
        <f t="shared" si="51"/>
        <v>0</v>
      </c>
      <c r="AC169" s="188"/>
      <c r="AD169" s="30">
        <f t="shared" si="49"/>
        <v>0</v>
      </c>
      <c r="AI169" s="30"/>
      <c r="AQ169" s="130"/>
      <c r="AR169" s="130"/>
      <c r="AS169" s="130"/>
      <c r="AT169" s="130"/>
      <c r="AV169" s="30">
        <f t="shared" si="52"/>
        <v>0</v>
      </c>
    </row>
    <row r="170" spans="3:48" ht="13.5" thickBot="1">
      <c r="C170" s="7" t="s">
        <v>342</v>
      </c>
      <c r="D170" s="18">
        <f>SUM(D142:D168)</f>
        <v>1.779</v>
      </c>
      <c r="E170" s="242"/>
      <c r="F170" s="243"/>
      <c r="G170" s="310">
        <f>SUM(G142:G168)</f>
        <v>1.135</v>
      </c>
      <c r="H170" s="87">
        <f aca="true" t="shared" si="58" ref="H170:S170">SUM(H142:H169)</f>
        <v>0.12825000000000003</v>
      </c>
      <c r="I170" s="88">
        <f t="shared" si="58"/>
        <v>0.12825000000000003</v>
      </c>
      <c r="J170" s="88">
        <f t="shared" si="58"/>
        <v>0.12825000000000003</v>
      </c>
      <c r="K170" s="88">
        <f t="shared" si="58"/>
        <v>0.12825000000000003</v>
      </c>
      <c r="L170" s="88">
        <f t="shared" si="58"/>
        <v>0.12825000000000003</v>
      </c>
      <c r="M170" s="88">
        <f t="shared" si="58"/>
        <v>0.12825000000000003</v>
      </c>
      <c r="N170" s="88">
        <f t="shared" si="58"/>
        <v>0.12825000000000003</v>
      </c>
      <c r="O170" s="88">
        <f t="shared" si="58"/>
        <v>0.12825000000000003</v>
      </c>
      <c r="P170" s="88">
        <f t="shared" si="58"/>
        <v>0.12825000000000003</v>
      </c>
      <c r="Q170" s="88">
        <f t="shared" si="58"/>
        <v>0.12825000000000003</v>
      </c>
      <c r="R170" s="88">
        <f t="shared" si="58"/>
        <v>0.12825000000000003</v>
      </c>
      <c r="S170" s="88">
        <f t="shared" si="58"/>
        <v>0.3682500000000001</v>
      </c>
      <c r="T170" s="185">
        <f>SUM(T142:T168)</f>
        <v>1.2825</v>
      </c>
      <c r="U170" s="151"/>
      <c r="V170" s="223"/>
      <c r="W170" s="159">
        <f aca="true" t="shared" si="59" ref="W170:AD170">SUM(W142:W169)</f>
        <v>0</v>
      </c>
      <c r="X170" s="159">
        <f t="shared" si="59"/>
        <v>0.17200000000000001</v>
      </c>
      <c r="Y170" s="159">
        <f t="shared" si="59"/>
        <v>0.03</v>
      </c>
      <c r="Z170" s="160">
        <f t="shared" si="59"/>
        <v>0.037</v>
      </c>
      <c r="AA170" s="159">
        <f t="shared" si="59"/>
        <v>0.321</v>
      </c>
      <c r="AB170" s="159">
        <f t="shared" si="59"/>
        <v>0.824</v>
      </c>
      <c r="AC170" s="159">
        <f t="shared" si="59"/>
        <v>0.3950000000000001</v>
      </c>
      <c r="AD170" s="159">
        <f t="shared" si="59"/>
        <v>1.779</v>
      </c>
      <c r="AF170" s="18">
        <f aca="true" t="shared" si="60" ref="AF170:AV170">SUM(AF142:AF169)</f>
        <v>0</v>
      </c>
      <c r="AG170" s="18">
        <f t="shared" si="60"/>
        <v>0</v>
      </c>
      <c r="AH170" s="18">
        <f t="shared" si="60"/>
        <v>0</v>
      </c>
      <c r="AI170" s="18">
        <f t="shared" si="60"/>
        <v>0.085</v>
      </c>
      <c r="AJ170" s="18">
        <f t="shared" si="60"/>
        <v>0</v>
      </c>
      <c r="AK170" s="18">
        <f t="shared" si="60"/>
        <v>0</v>
      </c>
      <c r="AL170" s="18">
        <f t="shared" si="60"/>
        <v>0</v>
      </c>
      <c r="AM170" s="18">
        <f t="shared" si="60"/>
        <v>0</v>
      </c>
      <c r="AN170" s="18">
        <f t="shared" si="60"/>
        <v>0</v>
      </c>
      <c r="AO170" s="18">
        <f t="shared" si="60"/>
        <v>0</v>
      </c>
      <c r="AP170" s="18">
        <f t="shared" si="60"/>
        <v>0</v>
      </c>
      <c r="AQ170" s="18">
        <f t="shared" si="60"/>
        <v>0.5159999999999999</v>
      </c>
      <c r="AR170" s="18">
        <f t="shared" si="60"/>
        <v>0</v>
      </c>
      <c r="AS170" s="18">
        <f t="shared" si="60"/>
        <v>0</v>
      </c>
      <c r="AT170" s="18">
        <f t="shared" si="60"/>
        <v>0</v>
      </c>
      <c r="AU170" s="18">
        <f t="shared" si="60"/>
        <v>0.223</v>
      </c>
      <c r="AV170" s="18">
        <f t="shared" si="60"/>
        <v>0.824</v>
      </c>
    </row>
    <row r="171" spans="3:48" ht="12.75">
      <c r="C171" s="7"/>
      <c r="E171" s="248"/>
      <c r="F171" s="249"/>
      <c r="G171" s="309"/>
      <c r="H171" s="81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83"/>
      <c r="U171" s="151"/>
      <c r="V171" s="223"/>
      <c r="W171" s="29"/>
      <c r="X171" s="29"/>
      <c r="Y171" s="29"/>
      <c r="Z171" s="158"/>
      <c r="AA171" s="29"/>
      <c r="AB171" s="29"/>
      <c r="AC171" s="30"/>
      <c r="AD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</row>
    <row r="172" spans="3:48" ht="12.75">
      <c r="C172" s="7" t="s">
        <v>284</v>
      </c>
      <c r="D172" s="5"/>
      <c r="E172" s="235"/>
      <c r="F172" s="237"/>
      <c r="G172" s="309"/>
      <c r="H172" s="81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50"/>
      <c r="U172" s="151"/>
      <c r="V172" s="223"/>
      <c r="W172" s="29"/>
      <c r="X172" s="29"/>
      <c r="Y172" s="29"/>
      <c r="Z172" s="158"/>
      <c r="AA172" s="29"/>
      <c r="AB172" s="29"/>
      <c r="AC172" s="30"/>
      <c r="AD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</row>
    <row r="173" spans="1:48" ht="12.75">
      <c r="A173" s="11" t="s">
        <v>562</v>
      </c>
      <c r="B173" s="26" t="s">
        <v>553</v>
      </c>
      <c r="C173" s="44" t="s">
        <v>218</v>
      </c>
      <c r="D173" s="166">
        <v>0.218</v>
      </c>
      <c r="E173" s="235"/>
      <c r="F173" s="237"/>
      <c r="G173" s="166">
        <v>0.162</v>
      </c>
      <c r="H173" s="12">
        <f>D173/12</f>
        <v>0.018166666666666668</v>
      </c>
      <c r="I173" s="12">
        <f aca="true" t="shared" si="61" ref="I173:N202">H173</f>
        <v>0.018166666666666668</v>
      </c>
      <c r="J173" s="12">
        <f t="shared" si="61"/>
        <v>0.018166666666666668</v>
      </c>
      <c r="K173" s="12">
        <f t="shared" si="61"/>
        <v>0.018166666666666668</v>
      </c>
      <c r="L173" s="12">
        <f t="shared" si="61"/>
        <v>0.018166666666666668</v>
      </c>
      <c r="M173" s="12">
        <f t="shared" si="61"/>
        <v>0.018166666666666668</v>
      </c>
      <c r="N173" s="12">
        <f t="shared" si="61"/>
        <v>0.018166666666666668</v>
      </c>
      <c r="O173" s="12">
        <f aca="true" t="shared" si="62" ref="O173:S180">N173</f>
        <v>0.018166666666666668</v>
      </c>
      <c r="P173" s="12">
        <f t="shared" si="62"/>
        <v>0.018166666666666668</v>
      </c>
      <c r="Q173" s="12">
        <f t="shared" si="62"/>
        <v>0.018166666666666668</v>
      </c>
      <c r="R173" s="12">
        <f t="shared" si="62"/>
        <v>0.018166666666666668</v>
      </c>
      <c r="S173" s="12">
        <f t="shared" si="62"/>
        <v>0.018166666666666668</v>
      </c>
      <c r="T173" s="150">
        <f aca="true" t="shared" si="63" ref="T173:T202">SUM(H173:Q173)</f>
        <v>0.18166666666666667</v>
      </c>
      <c r="U173" s="151"/>
      <c r="V173" s="223"/>
      <c r="W173" s="29"/>
      <c r="X173" s="29"/>
      <c r="Y173" s="29">
        <f>0.195+0.013+0.04+0.01-0.04</f>
        <v>0.218</v>
      </c>
      <c r="AA173" s="158"/>
      <c r="AB173" s="29">
        <f>SUM(AF173:AU173)</f>
        <v>0</v>
      </c>
      <c r="AD173" s="30">
        <f aca="true" t="shared" si="64" ref="AD173:AD204">SUM(W173:AC173)</f>
        <v>0.218</v>
      </c>
      <c r="AE173" s="29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>
        <f>SUM(AF173:AU173)</f>
        <v>0</v>
      </c>
    </row>
    <row r="174" spans="2:48" ht="12.75">
      <c r="B174" s="26" t="s">
        <v>552</v>
      </c>
      <c r="C174" s="174" t="s">
        <v>428</v>
      </c>
      <c r="D174" s="79">
        <v>0.004</v>
      </c>
      <c r="E174" s="244"/>
      <c r="F174" s="245"/>
      <c r="G174" s="167"/>
      <c r="H174" s="12">
        <f aca="true" t="shared" si="65" ref="H174:H202">D174/12</f>
        <v>0.0003333333333333333</v>
      </c>
      <c r="I174" s="12">
        <f t="shared" si="61"/>
        <v>0.0003333333333333333</v>
      </c>
      <c r="J174" s="12">
        <f t="shared" si="61"/>
        <v>0.0003333333333333333</v>
      </c>
      <c r="K174" s="12">
        <f t="shared" si="61"/>
        <v>0.0003333333333333333</v>
      </c>
      <c r="L174" s="12">
        <f t="shared" si="61"/>
        <v>0.0003333333333333333</v>
      </c>
      <c r="M174" s="12">
        <f t="shared" si="61"/>
        <v>0.0003333333333333333</v>
      </c>
      <c r="N174" s="12">
        <f t="shared" si="61"/>
        <v>0.0003333333333333333</v>
      </c>
      <c r="O174" s="12">
        <f t="shared" si="62"/>
        <v>0.0003333333333333333</v>
      </c>
      <c r="P174" s="12">
        <f t="shared" si="62"/>
        <v>0.0003333333333333333</v>
      </c>
      <c r="Q174" s="12">
        <f t="shared" si="62"/>
        <v>0.0003333333333333333</v>
      </c>
      <c r="R174" s="12">
        <f t="shared" si="62"/>
        <v>0.0003333333333333333</v>
      </c>
      <c r="S174" s="12">
        <f t="shared" si="62"/>
        <v>0.0003333333333333333</v>
      </c>
      <c r="T174" s="150">
        <f t="shared" si="63"/>
        <v>0.003333333333333334</v>
      </c>
      <c r="U174" s="151"/>
      <c r="V174" s="223"/>
      <c r="W174" s="29"/>
      <c r="X174" s="29"/>
      <c r="Y174" s="29"/>
      <c r="Z174" s="158"/>
      <c r="AA174" s="29">
        <v>0.004</v>
      </c>
      <c r="AB174" s="29">
        <f aca="true" t="shared" si="66" ref="AB174:AB202">SUM(AF174:AU174)</f>
        <v>0</v>
      </c>
      <c r="AC174" s="30"/>
      <c r="AD174" s="30">
        <f t="shared" si="64"/>
        <v>0.004</v>
      </c>
      <c r="AE174" s="29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5"/>
      <c r="AR174" s="30"/>
      <c r="AS174" s="30"/>
      <c r="AT174" s="30"/>
      <c r="AU174" s="30"/>
      <c r="AV174" s="30">
        <f aca="true" t="shared" si="67" ref="AV174:AV202">SUM(AF174:AU174)</f>
        <v>0</v>
      </c>
    </row>
    <row r="175" spans="2:48" ht="14.25" customHeight="1">
      <c r="B175" s="26" t="s">
        <v>554</v>
      </c>
      <c r="C175" s="44" t="s">
        <v>343</v>
      </c>
      <c r="D175" s="166">
        <f>0.01+0.091-0.008</f>
        <v>0.093</v>
      </c>
      <c r="E175" s="235"/>
      <c r="G175" s="167">
        <v>0.05</v>
      </c>
      <c r="H175" s="12">
        <f t="shared" si="65"/>
        <v>0.00775</v>
      </c>
      <c r="I175" s="12">
        <f t="shared" si="61"/>
        <v>0.00775</v>
      </c>
      <c r="J175" s="12">
        <f t="shared" si="61"/>
        <v>0.00775</v>
      </c>
      <c r="K175" s="12">
        <f t="shared" si="61"/>
        <v>0.00775</v>
      </c>
      <c r="L175" s="12">
        <f t="shared" si="61"/>
        <v>0.00775</v>
      </c>
      <c r="M175" s="12">
        <f t="shared" si="61"/>
        <v>0.00775</v>
      </c>
      <c r="N175" s="12">
        <f t="shared" si="61"/>
        <v>0.00775</v>
      </c>
      <c r="O175" s="12">
        <f t="shared" si="62"/>
        <v>0.00775</v>
      </c>
      <c r="P175" s="12">
        <f t="shared" si="62"/>
        <v>0.00775</v>
      </c>
      <c r="Q175" s="12">
        <f t="shared" si="62"/>
        <v>0.00775</v>
      </c>
      <c r="R175" s="12">
        <f t="shared" si="62"/>
        <v>0.00775</v>
      </c>
      <c r="S175" s="12">
        <f t="shared" si="62"/>
        <v>0.00775</v>
      </c>
      <c r="T175" s="150">
        <f t="shared" si="63"/>
        <v>0.07750000000000001</v>
      </c>
      <c r="U175" s="151"/>
      <c r="V175" s="223"/>
      <c r="W175" s="29"/>
      <c r="X175" s="29"/>
      <c r="Y175" s="29"/>
      <c r="AA175" s="29">
        <v>0.091</v>
      </c>
      <c r="AB175" s="29">
        <f t="shared" si="66"/>
        <v>0.002</v>
      </c>
      <c r="AC175" s="30"/>
      <c r="AD175" s="30">
        <f t="shared" si="64"/>
        <v>0.093</v>
      </c>
      <c r="AE175" s="29"/>
      <c r="AF175" s="30"/>
      <c r="AG175" s="30"/>
      <c r="AH175" s="30"/>
      <c r="AI175" s="30"/>
      <c r="AJ175" s="30"/>
      <c r="AK175" s="30"/>
      <c r="AL175" s="30"/>
      <c r="AM175" s="30"/>
      <c r="AN175" s="30"/>
      <c r="AQ175" s="30">
        <f>0.01-0.008</f>
        <v>0.002</v>
      </c>
      <c r="AR175" s="30"/>
      <c r="AS175" s="30"/>
      <c r="AT175" s="30"/>
      <c r="AV175" s="30">
        <f t="shared" si="67"/>
        <v>0.002</v>
      </c>
    </row>
    <row r="176" spans="2:48" ht="12.75">
      <c r="B176" s="26" t="s">
        <v>555</v>
      </c>
      <c r="C176" s="280" t="s">
        <v>217</v>
      </c>
      <c r="D176" s="179">
        <f>0.05-0.006</f>
        <v>0.044000000000000004</v>
      </c>
      <c r="E176" s="244"/>
      <c r="F176" s="245"/>
      <c r="G176" s="167">
        <v>0.015</v>
      </c>
      <c r="H176" s="12">
        <f t="shared" si="65"/>
        <v>0.003666666666666667</v>
      </c>
      <c r="I176" s="12">
        <f t="shared" si="61"/>
        <v>0.003666666666666667</v>
      </c>
      <c r="J176" s="12">
        <f t="shared" si="61"/>
        <v>0.003666666666666667</v>
      </c>
      <c r="K176" s="12">
        <f t="shared" si="61"/>
        <v>0.003666666666666667</v>
      </c>
      <c r="L176" s="12">
        <f t="shared" si="61"/>
        <v>0.003666666666666667</v>
      </c>
      <c r="M176" s="12">
        <f t="shared" si="61"/>
        <v>0.003666666666666667</v>
      </c>
      <c r="N176" s="12">
        <f t="shared" si="61"/>
        <v>0.003666666666666667</v>
      </c>
      <c r="O176" s="12">
        <f t="shared" si="62"/>
        <v>0.003666666666666667</v>
      </c>
      <c r="P176" s="12">
        <f t="shared" si="62"/>
        <v>0.003666666666666667</v>
      </c>
      <c r="Q176" s="12">
        <f t="shared" si="62"/>
        <v>0.003666666666666667</v>
      </c>
      <c r="R176" s="12">
        <f t="shared" si="62"/>
        <v>0.003666666666666667</v>
      </c>
      <c r="S176" s="12">
        <f t="shared" si="62"/>
        <v>0.003666666666666667</v>
      </c>
      <c r="T176" s="150">
        <f t="shared" si="63"/>
        <v>0.03666666666666666</v>
      </c>
      <c r="U176" s="151"/>
      <c r="V176" s="223"/>
      <c r="W176" s="29"/>
      <c r="X176" s="29"/>
      <c r="Y176" s="29"/>
      <c r="Z176" s="29"/>
      <c r="AA176" s="29">
        <f>0.05-0.006</f>
        <v>0.044000000000000004</v>
      </c>
      <c r="AB176" s="29">
        <f t="shared" si="66"/>
        <v>0</v>
      </c>
      <c r="AC176" s="30"/>
      <c r="AD176" s="30">
        <f t="shared" si="64"/>
        <v>0.044000000000000004</v>
      </c>
      <c r="AE176" s="29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5"/>
      <c r="AR176" s="30"/>
      <c r="AS176" s="30"/>
      <c r="AT176" s="30"/>
      <c r="AU176" s="30"/>
      <c r="AV176" s="30">
        <f t="shared" si="67"/>
        <v>0</v>
      </c>
    </row>
    <row r="177" spans="2:48" ht="12.75">
      <c r="B177" s="26" t="s">
        <v>558</v>
      </c>
      <c r="C177" s="280" t="s">
        <v>412</v>
      </c>
      <c r="D177" s="179">
        <v>0.003</v>
      </c>
      <c r="E177" s="244"/>
      <c r="F177" s="245"/>
      <c r="G177" s="167"/>
      <c r="H177" s="12">
        <f t="shared" si="65"/>
        <v>0.00025</v>
      </c>
      <c r="I177" s="12">
        <f t="shared" si="61"/>
        <v>0.00025</v>
      </c>
      <c r="J177" s="12">
        <f t="shared" si="61"/>
        <v>0.00025</v>
      </c>
      <c r="K177" s="12">
        <f t="shared" si="61"/>
        <v>0.00025</v>
      </c>
      <c r="L177" s="12">
        <f t="shared" si="61"/>
        <v>0.00025</v>
      </c>
      <c r="M177" s="12">
        <f t="shared" si="61"/>
        <v>0.00025</v>
      </c>
      <c r="N177" s="12">
        <f t="shared" si="61"/>
        <v>0.00025</v>
      </c>
      <c r="O177" s="12">
        <f t="shared" si="62"/>
        <v>0.00025</v>
      </c>
      <c r="P177" s="12">
        <f t="shared" si="62"/>
        <v>0.00025</v>
      </c>
      <c r="Q177" s="12">
        <f t="shared" si="62"/>
        <v>0.00025</v>
      </c>
      <c r="R177" s="12">
        <f t="shared" si="62"/>
        <v>0.00025</v>
      </c>
      <c r="S177" s="12">
        <f t="shared" si="62"/>
        <v>0.00025</v>
      </c>
      <c r="T177" s="150">
        <f t="shared" si="63"/>
        <v>0.0025000000000000005</v>
      </c>
      <c r="U177" s="151"/>
      <c r="V177" s="223"/>
      <c r="W177" s="29"/>
      <c r="X177" s="29"/>
      <c r="Y177" s="29"/>
      <c r="Z177" s="29"/>
      <c r="AA177" s="29">
        <v>0.003</v>
      </c>
      <c r="AB177" s="29">
        <f t="shared" si="66"/>
        <v>0</v>
      </c>
      <c r="AC177" s="30"/>
      <c r="AD177" s="30">
        <f t="shared" si="64"/>
        <v>0.003</v>
      </c>
      <c r="AE177" s="29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5"/>
      <c r="AR177" s="30"/>
      <c r="AS177" s="30"/>
      <c r="AT177" s="30"/>
      <c r="AU177" s="30"/>
      <c r="AV177" s="30">
        <f t="shared" si="67"/>
        <v>0</v>
      </c>
    </row>
    <row r="178" spans="2:48" ht="12.75">
      <c r="B178" s="26" t="s">
        <v>556</v>
      </c>
      <c r="C178" s="44" t="s">
        <v>183</v>
      </c>
      <c r="D178" s="166">
        <f>2.036-0.303</f>
        <v>1.733</v>
      </c>
      <c r="E178" s="244"/>
      <c r="F178" s="245"/>
      <c r="G178" s="167">
        <v>1.727</v>
      </c>
      <c r="H178" s="12">
        <f t="shared" si="65"/>
        <v>0.14441666666666667</v>
      </c>
      <c r="I178" s="12">
        <f t="shared" si="61"/>
        <v>0.14441666666666667</v>
      </c>
      <c r="J178" s="12">
        <f t="shared" si="61"/>
        <v>0.14441666666666667</v>
      </c>
      <c r="K178" s="12">
        <f t="shared" si="61"/>
        <v>0.14441666666666667</v>
      </c>
      <c r="L178" s="12">
        <f t="shared" si="61"/>
        <v>0.14441666666666667</v>
      </c>
      <c r="M178" s="12">
        <f t="shared" si="61"/>
        <v>0.14441666666666667</v>
      </c>
      <c r="N178" s="12">
        <f t="shared" si="61"/>
        <v>0.14441666666666667</v>
      </c>
      <c r="O178" s="12">
        <f t="shared" si="62"/>
        <v>0.14441666666666667</v>
      </c>
      <c r="P178" s="12">
        <f t="shared" si="62"/>
        <v>0.14441666666666667</v>
      </c>
      <c r="Q178" s="12">
        <f t="shared" si="62"/>
        <v>0.14441666666666667</v>
      </c>
      <c r="R178" s="12">
        <f t="shared" si="62"/>
        <v>0.14441666666666667</v>
      </c>
      <c r="S178" s="12">
        <f t="shared" si="62"/>
        <v>0.14441666666666667</v>
      </c>
      <c r="T178" s="150">
        <f t="shared" si="63"/>
        <v>1.4441666666666666</v>
      </c>
      <c r="U178" s="151"/>
      <c r="V178" s="223"/>
      <c r="W178" s="29"/>
      <c r="X178" s="29"/>
      <c r="Y178" s="29"/>
      <c r="AA178" s="29">
        <f>0.5-0.303</f>
        <v>0.197</v>
      </c>
      <c r="AB178" s="29">
        <f t="shared" si="66"/>
        <v>1.536</v>
      </c>
      <c r="AC178" s="30">
        <f>1.769-1.769</f>
        <v>0</v>
      </c>
      <c r="AD178" s="30">
        <f t="shared" si="64"/>
        <v>1.733</v>
      </c>
      <c r="AE178" s="29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>
        <f>1.35-0.475-0.236</f>
        <v>0.6390000000000001</v>
      </c>
      <c r="AQ178" s="30"/>
      <c r="AR178" s="30"/>
      <c r="AS178" s="30"/>
      <c r="AT178" s="30"/>
      <c r="AU178" s="30">
        <v>0.897</v>
      </c>
      <c r="AV178" s="30">
        <f t="shared" si="67"/>
        <v>1.536</v>
      </c>
    </row>
    <row r="179" spans="2:48" ht="12.75">
      <c r="B179" s="26" t="s">
        <v>557</v>
      </c>
      <c r="C179" s="280" t="s">
        <v>427</v>
      </c>
      <c r="D179" s="179">
        <v>0.017</v>
      </c>
      <c r="E179" s="244"/>
      <c r="F179" s="245"/>
      <c r="G179" s="167">
        <v>0.012</v>
      </c>
      <c r="H179" s="12">
        <f t="shared" si="65"/>
        <v>0.0014166666666666668</v>
      </c>
      <c r="I179" s="12">
        <f t="shared" si="61"/>
        <v>0.0014166666666666668</v>
      </c>
      <c r="J179" s="12">
        <f t="shared" si="61"/>
        <v>0.0014166666666666668</v>
      </c>
      <c r="K179" s="12">
        <f t="shared" si="61"/>
        <v>0.0014166666666666668</v>
      </c>
      <c r="L179" s="12">
        <f t="shared" si="61"/>
        <v>0.0014166666666666668</v>
      </c>
      <c r="M179" s="12">
        <f t="shared" si="61"/>
        <v>0.0014166666666666668</v>
      </c>
      <c r="N179" s="12">
        <f t="shared" si="61"/>
        <v>0.0014166666666666668</v>
      </c>
      <c r="O179" s="12">
        <f t="shared" si="62"/>
        <v>0.0014166666666666668</v>
      </c>
      <c r="P179" s="12">
        <f t="shared" si="62"/>
        <v>0.0014166666666666668</v>
      </c>
      <c r="Q179" s="12">
        <f t="shared" si="62"/>
        <v>0.0014166666666666668</v>
      </c>
      <c r="R179" s="12">
        <f t="shared" si="62"/>
        <v>0.0014166666666666668</v>
      </c>
      <c r="S179" s="12">
        <f t="shared" si="62"/>
        <v>0.0014166666666666668</v>
      </c>
      <c r="T179" s="150">
        <f t="shared" si="63"/>
        <v>0.014166666666666668</v>
      </c>
      <c r="U179" s="151"/>
      <c r="V179" s="223"/>
      <c r="W179" s="29"/>
      <c r="X179" s="29"/>
      <c r="Y179" s="29"/>
      <c r="Z179" s="29">
        <v>0.017</v>
      </c>
      <c r="AA179" s="29"/>
      <c r="AB179" s="29">
        <f t="shared" si="66"/>
        <v>0</v>
      </c>
      <c r="AC179" s="30"/>
      <c r="AD179" s="30">
        <f t="shared" si="64"/>
        <v>0.017</v>
      </c>
      <c r="AE179" s="29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5"/>
      <c r="AR179" s="30"/>
      <c r="AS179" s="30"/>
      <c r="AT179" s="30"/>
      <c r="AU179" s="30"/>
      <c r="AV179" s="30">
        <f t="shared" si="67"/>
        <v>0</v>
      </c>
    </row>
    <row r="180" spans="2:49" ht="12.75">
      <c r="B180" s="26" t="s">
        <v>560</v>
      </c>
      <c r="C180" s="280" t="s">
        <v>559</v>
      </c>
      <c r="D180" s="179">
        <v>0.026</v>
      </c>
      <c r="E180" s="244"/>
      <c r="F180" s="140"/>
      <c r="G180" s="167">
        <v>0.018</v>
      </c>
      <c r="H180" s="12">
        <f t="shared" si="65"/>
        <v>0.0021666666666666666</v>
      </c>
      <c r="I180" s="12">
        <f t="shared" si="61"/>
        <v>0.0021666666666666666</v>
      </c>
      <c r="J180" s="12">
        <f t="shared" si="61"/>
        <v>0.0021666666666666666</v>
      </c>
      <c r="K180" s="12">
        <f t="shared" si="61"/>
        <v>0.0021666666666666666</v>
      </c>
      <c r="L180" s="12">
        <f t="shared" si="61"/>
        <v>0.0021666666666666666</v>
      </c>
      <c r="M180" s="12">
        <f t="shared" si="61"/>
        <v>0.0021666666666666666</v>
      </c>
      <c r="N180" s="12">
        <f t="shared" si="61"/>
        <v>0.0021666666666666666</v>
      </c>
      <c r="O180" s="12">
        <f t="shared" si="62"/>
        <v>0.0021666666666666666</v>
      </c>
      <c r="P180" s="12">
        <f t="shared" si="62"/>
        <v>0.0021666666666666666</v>
      </c>
      <c r="Q180" s="12">
        <f t="shared" si="62"/>
        <v>0.0021666666666666666</v>
      </c>
      <c r="R180" s="12">
        <f t="shared" si="62"/>
        <v>0.0021666666666666666</v>
      </c>
      <c r="S180" s="12">
        <f t="shared" si="62"/>
        <v>0.0021666666666666666</v>
      </c>
      <c r="T180" s="150">
        <f t="shared" si="63"/>
        <v>0.02166666666666667</v>
      </c>
      <c r="U180" s="151"/>
      <c r="V180" s="223"/>
      <c r="W180" s="29"/>
      <c r="X180" s="29"/>
      <c r="Y180" s="29"/>
      <c r="Z180" s="29">
        <v>0.013</v>
      </c>
      <c r="AA180" s="29"/>
      <c r="AB180" s="29">
        <f t="shared" si="66"/>
        <v>0</v>
      </c>
      <c r="AC180" s="30">
        <v>0.013</v>
      </c>
      <c r="AD180" s="30">
        <f t="shared" si="64"/>
        <v>0.026</v>
      </c>
      <c r="AE180" s="29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6"/>
      <c r="AR180" s="30"/>
      <c r="AS180" s="30"/>
      <c r="AT180" s="30"/>
      <c r="AU180" s="30"/>
      <c r="AV180" s="30">
        <f t="shared" si="67"/>
        <v>0</v>
      </c>
      <c r="AW180" s="26" t="s">
        <v>624</v>
      </c>
    </row>
    <row r="181" spans="2:48" ht="12.75">
      <c r="B181" s="26" t="s">
        <v>645</v>
      </c>
      <c r="C181" s="280" t="s">
        <v>646</v>
      </c>
      <c r="D181" s="179"/>
      <c r="E181" s="244"/>
      <c r="F181" s="140"/>
      <c r="G181" s="167">
        <v>0.013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50">
        <f t="shared" si="63"/>
        <v>0</v>
      </c>
      <c r="U181" s="151"/>
      <c r="V181" s="223"/>
      <c r="W181" s="29"/>
      <c r="X181" s="29"/>
      <c r="Y181" s="29"/>
      <c r="Z181" s="29"/>
      <c r="AA181" s="29"/>
      <c r="AB181" s="29">
        <f t="shared" si="66"/>
        <v>0</v>
      </c>
      <c r="AD181" s="30">
        <f t="shared" si="64"/>
        <v>0</v>
      </c>
      <c r="AE181" s="29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6"/>
      <c r="AR181" s="30"/>
      <c r="AS181" s="30"/>
      <c r="AT181" s="30"/>
      <c r="AU181" s="30"/>
      <c r="AV181" s="30">
        <f t="shared" si="67"/>
        <v>0</v>
      </c>
    </row>
    <row r="182" spans="2:49" ht="12.75">
      <c r="B182" s="26" t="s">
        <v>623</v>
      </c>
      <c r="C182" s="126" t="s">
        <v>215</v>
      </c>
      <c r="D182" s="179">
        <v>0.017</v>
      </c>
      <c r="E182" s="244"/>
      <c r="F182" s="245"/>
      <c r="G182" s="167">
        <v>0.026</v>
      </c>
      <c r="H182" s="12">
        <f t="shared" si="65"/>
        <v>0.0014166666666666668</v>
      </c>
      <c r="I182" s="12">
        <f t="shared" si="61"/>
        <v>0.0014166666666666668</v>
      </c>
      <c r="J182" s="12">
        <f t="shared" si="61"/>
        <v>0.0014166666666666668</v>
      </c>
      <c r="K182" s="12">
        <f t="shared" si="61"/>
        <v>0.0014166666666666668</v>
      </c>
      <c r="L182" s="12">
        <f t="shared" si="61"/>
        <v>0.0014166666666666668</v>
      </c>
      <c r="M182" s="12">
        <f t="shared" si="61"/>
        <v>0.0014166666666666668</v>
      </c>
      <c r="N182" s="12">
        <f t="shared" si="61"/>
        <v>0.0014166666666666668</v>
      </c>
      <c r="O182" s="12">
        <f aca="true" t="shared" si="68" ref="O182:S186">N182</f>
        <v>0.0014166666666666668</v>
      </c>
      <c r="P182" s="12">
        <f t="shared" si="68"/>
        <v>0.0014166666666666668</v>
      </c>
      <c r="Q182" s="12">
        <f t="shared" si="68"/>
        <v>0.0014166666666666668</v>
      </c>
      <c r="R182" s="12">
        <f t="shared" si="68"/>
        <v>0.0014166666666666668</v>
      </c>
      <c r="S182" s="12">
        <f t="shared" si="68"/>
        <v>0.0014166666666666668</v>
      </c>
      <c r="T182" s="150">
        <f t="shared" si="63"/>
        <v>0.014166666666666668</v>
      </c>
      <c r="U182" s="151"/>
      <c r="V182" s="223"/>
      <c r="W182" s="29"/>
      <c r="X182" s="29"/>
      <c r="Y182" s="29"/>
      <c r="Z182" s="29"/>
      <c r="AA182" s="29"/>
      <c r="AB182" s="29">
        <f t="shared" si="66"/>
        <v>0</v>
      </c>
      <c r="AC182" s="30">
        <v>0.017</v>
      </c>
      <c r="AD182" s="30">
        <f t="shared" si="64"/>
        <v>0.017</v>
      </c>
      <c r="AE182" s="29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5"/>
      <c r="AR182" s="30"/>
      <c r="AS182" s="30"/>
      <c r="AT182" s="30"/>
      <c r="AU182" s="30"/>
      <c r="AV182" s="30">
        <f t="shared" si="67"/>
        <v>0</v>
      </c>
      <c r="AW182" s="26" t="s">
        <v>377</v>
      </c>
    </row>
    <row r="183" spans="3:49" ht="12.75">
      <c r="C183" s="126" t="s">
        <v>216</v>
      </c>
      <c r="D183" s="179">
        <v>0.03</v>
      </c>
      <c r="E183" s="244"/>
      <c r="F183" s="245"/>
      <c r="G183" s="167"/>
      <c r="H183" s="12">
        <f t="shared" si="65"/>
        <v>0.0025</v>
      </c>
      <c r="I183" s="12">
        <f t="shared" si="61"/>
        <v>0.0025</v>
      </c>
      <c r="J183" s="12">
        <f t="shared" si="61"/>
        <v>0.0025</v>
      </c>
      <c r="K183" s="12">
        <f t="shared" si="61"/>
        <v>0.0025</v>
      </c>
      <c r="L183" s="12">
        <f t="shared" si="61"/>
        <v>0.0025</v>
      </c>
      <c r="M183" s="12">
        <f t="shared" si="61"/>
        <v>0.0025</v>
      </c>
      <c r="N183" s="12">
        <f t="shared" si="61"/>
        <v>0.0025</v>
      </c>
      <c r="O183" s="12">
        <f t="shared" si="68"/>
        <v>0.0025</v>
      </c>
      <c r="P183" s="12">
        <f t="shared" si="68"/>
        <v>0.0025</v>
      </c>
      <c r="Q183" s="12">
        <f t="shared" si="68"/>
        <v>0.0025</v>
      </c>
      <c r="R183" s="12">
        <f t="shared" si="68"/>
        <v>0.0025</v>
      </c>
      <c r="S183" s="12">
        <f t="shared" si="68"/>
        <v>0.0025</v>
      </c>
      <c r="T183" s="150">
        <f t="shared" si="63"/>
        <v>0.024999999999999998</v>
      </c>
      <c r="U183" s="151"/>
      <c r="V183" s="223"/>
      <c r="W183" s="29"/>
      <c r="X183" s="29"/>
      <c r="Y183" s="29"/>
      <c r="Z183" s="29"/>
      <c r="AA183" s="29"/>
      <c r="AB183" s="29">
        <f t="shared" si="66"/>
        <v>0</v>
      </c>
      <c r="AC183" s="30">
        <v>0.03</v>
      </c>
      <c r="AD183" s="30">
        <f t="shared" si="64"/>
        <v>0.03</v>
      </c>
      <c r="AE183" s="29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5"/>
      <c r="AR183" s="30"/>
      <c r="AS183" s="30"/>
      <c r="AT183" s="30"/>
      <c r="AU183" s="30"/>
      <c r="AV183" s="30">
        <f t="shared" si="67"/>
        <v>0</v>
      </c>
      <c r="AW183" s="26" t="s">
        <v>378</v>
      </c>
    </row>
    <row r="184" spans="3:48" ht="12.75">
      <c r="C184" s="174" t="s">
        <v>388</v>
      </c>
      <c r="D184" s="79">
        <v>0.01</v>
      </c>
      <c r="E184" s="244"/>
      <c r="F184" s="245"/>
      <c r="G184" s="167"/>
      <c r="H184" s="12">
        <f t="shared" si="65"/>
        <v>0.0008333333333333334</v>
      </c>
      <c r="I184" s="12">
        <f t="shared" si="61"/>
        <v>0.0008333333333333334</v>
      </c>
      <c r="J184" s="12">
        <f t="shared" si="61"/>
        <v>0.0008333333333333334</v>
      </c>
      <c r="K184" s="12">
        <f t="shared" si="61"/>
        <v>0.0008333333333333334</v>
      </c>
      <c r="L184" s="12">
        <f t="shared" si="61"/>
        <v>0.0008333333333333334</v>
      </c>
      <c r="M184" s="12">
        <f t="shared" si="61"/>
        <v>0.0008333333333333334</v>
      </c>
      <c r="N184" s="12">
        <f t="shared" si="61"/>
        <v>0.0008333333333333334</v>
      </c>
      <c r="O184" s="12">
        <f t="shared" si="68"/>
        <v>0.0008333333333333334</v>
      </c>
      <c r="P184" s="12">
        <f t="shared" si="68"/>
        <v>0.0008333333333333334</v>
      </c>
      <c r="Q184" s="12">
        <f t="shared" si="68"/>
        <v>0.0008333333333333334</v>
      </c>
      <c r="R184" s="12">
        <f t="shared" si="68"/>
        <v>0.0008333333333333334</v>
      </c>
      <c r="S184" s="12">
        <f t="shared" si="68"/>
        <v>0.0008333333333333334</v>
      </c>
      <c r="T184" s="150">
        <f t="shared" si="63"/>
        <v>0.008333333333333333</v>
      </c>
      <c r="U184" s="151"/>
      <c r="V184" s="223"/>
      <c r="W184" s="29"/>
      <c r="X184" s="29"/>
      <c r="Y184" s="29"/>
      <c r="Z184" s="29"/>
      <c r="AA184" s="29">
        <v>0.01</v>
      </c>
      <c r="AB184" s="29">
        <f>SUM(AF184:AU184)</f>
        <v>0</v>
      </c>
      <c r="AC184" s="30"/>
      <c r="AD184" s="30">
        <f t="shared" si="64"/>
        <v>0.01</v>
      </c>
      <c r="AE184" s="29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5"/>
      <c r="AR184" s="30"/>
      <c r="AS184" s="30"/>
      <c r="AT184" s="30"/>
      <c r="AU184" s="30"/>
      <c r="AV184" s="30">
        <f t="shared" si="67"/>
        <v>0</v>
      </c>
    </row>
    <row r="185" spans="3:49" ht="12.75">
      <c r="C185" s="174" t="s">
        <v>426</v>
      </c>
      <c r="D185" s="79">
        <f>0.007-0.002</f>
        <v>0.005</v>
      </c>
      <c r="E185" s="244"/>
      <c r="F185" s="245"/>
      <c r="G185" s="167"/>
      <c r="H185" s="12">
        <f t="shared" si="65"/>
        <v>0.0004166666666666667</v>
      </c>
      <c r="I185" s="12">
        <f t="shared" si="61"/>
        <v>0.0004166666666666667</v>
      </c>
      <c r="J185" s="12">
        <f t="shared" si="61"/>
        <v>0.0004166666666666667</v>
      </c>
      <c r="K185" s="12">
        <f t="shared" si="61"/>
        <v>0.0004166666666666667</v>
      </c>
      <c r="L185" s="12">
        <f t="shared" si="61"/>
        <v>0.0004166666666666667</v>
      </c>
      <c r="M185" s="12">
        <f t="shared" si="61"/>
        <v>0.0004166666666666667</v>
      </c>
      <c r="N185" s="12">
        <f t="shared" si="61"/>
        <v>0.0004166666666666667</v>
      </c>
      <c r="O185" s="12">
        <f t="shared" si="68"/>
        <v>0.0004166666666666667</v>
      </c>
      <c r="P185" s="12">
        <f t="shared" si="68"/>
        <v>0.0004166666666666667</v>
      </c>
      <c r="Q185" s="12">
        <f t="shared" si="68"/>
        <v>0.0004166666666666667</v>
      </c>
      <c r="R185" s="12">
        <f t="shared" si="68"/>
        <v>0.0004166666666666667</v>
      </c>
      <c r="S185" s="12">
        <f t="shared" si="68"/>
        <v>0.0004166666666666667</v>
      </c>
      <c r="T185" s="150">
        <f t="shared" si="63"/>
        <v>0.004166666666666667</v>
      </c>
      <c r="U185" s="151"/>
      <c r="V185" s="223"/>
      <c r="W185" s="29"/>
      <c r="X185" s="29"/>
      <c r="Y185" s="29"/>
      <c r="Z185" s="29"/>
      <c r="AA185" s="29"/>
      <c r="AB185" s="29">
        <f t="shared" si="66"/>
        <v>0</v>
      </c>
      <c r="AC185" s="30">
        <f>0.007-0.002</f>
        <v>0.005</v>
      </c>
      <c r="AD185" s="30">
        <f t="shared" si="64"/>
        <v>0.005</v>
      </c>
      <c r="AE185" s="29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5"/>
      <c r="AR185" s="30"/>
      <c r="AS185" s="30"/>
      <c r="AT185" s="30"/>
      <c r="AU185" s="30"/>
      <c r="AV185" s="30">
        <f t="shared" si="67"/>
        <v>0</v>
      </c>
      <c r="AW185" s="26" t="s">
        <v>411</v>
      </c>
    </row>
    <row r="186" spans="3:48" ht="12.75">
      <c r="C186" s="174" t="s">
        <v>446</v>
      </c>
      <c r="D186" s="79">
        <f>0.04+0.014</f>
        <v>0.054</v>
      </c>
      <c r="E186" s="244"/>
      <c r="F186" s="245"/>
      <c r="G186" s="167">
        <f>0.013+0.014+0.013+0.015</f>
        <v>0.055</v>
      </c>
      <c r="H186" s="12">
        <f t="shared" si="65"/>
        <v>0.0045</v>
      </c>
      <c r="I186" s="12">
        <f t="shared" si="61"/>
        <v>0.0045</v>
      </c>
      <c r="J186" s="12">
        <f t="shared" si="61"/>
        <v>0.0045</v>
      </c>
      <c r="K186" s="12">
        <f t="shared" si="61"/>
        <v>0.0045</v>
      </c>
      <c r="L186" s="12">
        <f t="shared" si="61"/>
        <v>0.0045</v>
      </c>
      <c r="M186" s="12">
        <f t="shared" si="61"/>
        <v>0.0045</v>
      </c>
      <c r="N186" s="12">
        <f t="shared" si="61"/>
        <v>0.0045</v>
      </c>
      <c r="O186" s="12">
        <f t="shared" si="68"/>
        <v>0.0045</v>
      </c>
      <c r="P186" s="12">
        <f t="shared" si="68"/>
        <v>0.0045</v>
      </c>
      <c r="Q186" s="12">
        <f t="shared" si="68"/>
        <v>0.0045</v>
      </c>
      <c r="R186" s="12">
        <f t="shared" si="68"/>
        <v>0.0045</v>
      </c>
      <c r="S186" s="12">
        <f t="shared" si="68"/>
        <v>0.0045</v>
      </c>
      <c r="T186" s="150">
        <f t="shared" si="63"/>
        <v>0.04499999999999999</v>
      </c>
      <c r="U186" s="151"/>
      <c r="V186" s="223"/>
      <c r="W186" s="29"/>
      <c r="X186" s="29"/>
      <c r="Y186" s="29"/>
      <c r="Z186" s="29"/>
      <c r="AA186" s="29">
        <v>0.014</v>
      </c>
      <c r="AB186" s="29">
        <f t="shared" si="66"/>
        <v>0.04</v>
      </c>
      <c r="AC186" s="30"/>
      <c r="AD186" s="30">
        <f t="shared" si="64"/>
        <v>0.054</v>
      </c>
      <c r="AE186" s="29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5">
        <v>0.04</v>
      </c>
      <c r="AR186" s="30"/>
      <c r="AS186" s="30"/>
      <c r="AT186" s="30"/>
      <c r="AU186" s="30"/>
      <c r="AV186" s="30">
        <f t="shared" si="67"/>
        <v>0.04</v>
      </c>
    </row>
    <row r="187" spans="2:49" ht="12.75">
      <c r="B187" s="26" t="s">
        <v>109</v>
      </c>
      <c r="C187" s="174" t="s">
        <v>90</v>
      </c>
      <c r="D187" s="79">
        <v>0.127</v>
      </c>
      <c r="E187" s="244"/>
      <c r="F187" s="245"/>
      <c r="G187" s="167">
        <v>0.08</v>
      </c>
      <c r="H187" s="12"/>
      <c r="I187" s="12"/>
      <c r="J187" s="12"/>
      <c r="K187" s="12"/>
      <c r="L187" s="12"/>
      <c r="M187" s="12"/>
      <c r="N187" s="12"/>
      <c r="O187" s="12"/>
      <c r="P187" s="12">
        <v>0.06</v>
      </c>
      <c r="Q187" s="12">
        <v>0.067</v>
      </c>
      <c r="R187" s="12"/>
      <c r="S187" s="12"/>
      <c r="T187" s="150">
        <f t="shared" si="63"/>
        <v>0.127</v>
      </c>
      <c r="U187" s="151"/>
      <c r="V187" s="223">
        <v>38642</v>
      </c>
      <c r="W187" s="29"/>
      <c r="X187" s="29"/>
      <c r="Y187" s="29"/>
      <c r="Z187" s="29"/>
      <c r="AA187" s="29"/>
      <c r="AB187" s="29">
        <f t="shared" si="66"/>
        <v>0.115</v>
      </c>
      <c r="AC187" s="30">
        <v>0.012</v>
      </c>
      <c r="AD187" s="30">
        <f t="shared" si="64"/>
        <v>0.127</v>
      </c>
      <c r="AE187" s="29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6">
        <v>0.115</v>
      </c>
      <c r="AR187" s="30"/>
      <c r="AS187" s="30"/>
      <c r="AT187" s="30"/>
      <c r="AU187" s="30"/>
      <c r="AV187" s="30">
        <f t="shared" si="67"/>
        <v>0.115</v>
      </c>
      <c r="AW187" s="26" t="s">
        <v>406</v>
      </c>
    </row>
    <row r="188" spans="2:48" ht="12.75">
      <c r="B188" s="26" t="s">
        <v>110</v>
      </c>
      <c r="C188" s="174" t="s">
        <v>91</v>
      </c>
      <c r="D188" s="79">
        <f>0.289-0.043</f>
        <v>0.246</v>
      </c>
      <c r="E188" s="244"/>
      <c r="F188" s="245"/>
      <c r="G188" s="167">
        <v>0.245</v>
      </c>
      <c r="H188" s="12">
        <f t="shared" si="65"/>
        <v>0.0205</v>
      </c>
      <c r="I188" s="12">
        <f t="shared" si="61"/>
        <v>0.0205</v>
      </c>
      <c r="J188" s="12">
        <f t="shared" si="61"/>
        <v>0.0205</v>
      </c>
      <c r="K188" s="12">
        <f t="shared" si="61"/>
        <v>0.0205</v>
      </c>
      <c r="L188" s="12">
        <f t="shared" si="61"/>
        <v>0.0205</v>
      </c>
      <c r="M188" s="12">
        <f t="shared" si="61"/>
        <v>0.0205</v>
      </c>
      <c r="N188" s="12">
        <f t="shared" si="61"/>
        <v>0.0205</v>
      </c>
      <c r="O188" s="12">
        <f aca="true" t="shared" si="69" ref="O188:S202">N188</f>
        <v>0.0205</v>
      </c>
      <c r="P188" s="12">
        <f t="shared" si="69"/>
        <v>0.0205</v>
      </c>
      <c r="Q188" s="12">
        <f t="shared" si="69"/>
        <v>0.0205</v>
      </c>
      <c r="R188" s="12">
        <f t="shared" si="69"/>
        <v>0.0205</v>
      </c>
      <c r="S188" s="12">
        <f t="shared" si="69"/>
        <v>0.0205</v>
      </c>
      <c r="T188" s="150">
        <f t="shared" si="63"/>
        <v>0.205</v>
      </c>
      <c r="U188" s="151"/>
      <c r="V188" s="223"/>
      <c r="W188" s="29"/>
      <c r="X188" s="29"/>
      <c r="Y188" s="29"/>
      <c r="Z188" s="29">
        <f>0.05-0.043</f>
        <v>0.007000000000000006</v>
      </c>
      <c r="AA188" s="29"/>
      <c r="AB188" s="29">
        <f t="shared" si="66"/>
        <v>0.186</v>
      </c>
      <c r="AC188" s="30">
        <v>0.053</v>
      </c>
      <c r="AD188" s="30">
        <f t="shared" si="64"/>
        <v>0.246</v>
      </c>
      <c r="AE188" s="29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6">
        <v>0.186</v>
      </c>
      <c r="AR188" s="30"/>
      <c r="AS188" s="30"/>
      <c r="AT188" s="30"/>
      <c r="AU188" s="30"/>
      <c r="AV188" s="30">
        <f t="shared" si="67"/>
        <v>0.186</v>
      </c>
    </row>
    <row r="189" spans="2:48" ht="12.75">
      <c r="B189" s="26" t="s">
        <v>686</v>
      </c>
      <c r="C189" s="174" t="s">
        <v>687</v>
      </c>
      <c r="D189" s="79"/>
      <c r="E189" s="244"/>
      <c r="F189" s="245"/>
      <c r="G189" s="167">
        <v>0.027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50"/>
      <c r="U189" s="151"/>
      <c r="V189" s="223"/>
      <c r="W189" s="29"/>
      <c r="X189" s="29"/>
      <c r="Y189" s="29"/>
      <c r="Z189" s="29"/>
      <c r="AA189" s="29"/>
      <c r="AB189" s="29">
        <f t="shared" si="66"/>
        <v>0</v>
      </c>
      <c r="AC189" s="30"/>
      <c r="AD189" s="30">
        <f t="shared" si="64"/>
        <v>0</v>
      </c>
      <c r="AE189" s="29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6"/>
      <c r="AR189" s="30"/>
      <c r="AS189" s="30"/>
      <c r="AT189" s="30"/>
      <c r="AU189" s="30"/>
      <c r="AV189" s="30"/>
    </row>
    <row r="190" spans="2:48" ht="12.75">
      <c r="B190" s="26" t="s">
        <v>407</v>
      </c>
      <c r="C190" s="174" t="s">
        <v>408</v>
      </c>
      <c r="D190" s="79">
        <f>0.12+0.102</f>
        <v>0.22199999999999998</v>
      </c>
      <c r="E190" s="244"/>
      <c r="F190" s="245"/>
      <c r="G190" s="167">
        <v>0.012</v>
      </c>
      <c r="H190" s="12">
        <f t="shared" si="65"/>
        <v>0.0185</v>
      </c>
      <c r="I190" s="12">
        <f t="shared" si="61"/>
        <v>0.0185</v>
      </c>
      <c r="J190" s="12">
        <f t="shared" si="61"/>
        <v>0.0185</v>
      </c>
      <c r="K190" s="12">
        <f t="shared" si="61"/>
        <v>0.0185</v>
      </c>
      <c r="L190" s="12">
        <f t="shared" si="61"/>
        <v>0.0185</v>
      </c>
      <c r="M190" s="12">
        <f t="shared" si="61"/>
        <v>0.0185</v>
      </c>
      <c r="N190" s="12">
        <f t="shared" si="61"/>
        <v>0.0185</v>
      </c>
      <c r="O190" s="12">
        <f t="shared" si="69"/>
        <v>0.0185</v>
      </c>
      <c r="P190" s="12">
        <f t="shared" si="69"/>
        <v>0.0185</v>
      </c>
      <c r="Q190" s="12">
        <f t="shared" si="69"/>
        <v>0.0185</v>
      </c>
      <c r="R190" s="12">
        <f t="shared" si="69"/>
        <v>0.0185</v>
      </c>
      <c r="S190" s="12">
        <f t="shared" si="69"/>
        <v>0.0185</v>
      </c>
      <c r="T190" s="150">
        <f t="shared" si="63"/>
        <v>0.18499999999999997</v>
      </c>
      <c r="U190" s="151"/>
      <c r="V190" s="223"/>
      <c r="W190" s="29"/>
      <c r="X190" s="29"/>
      <c r="Y190" s="29"/>
      <c r="Z190" s="29"/>
      <c r="AA190" s="29"/>
      <c r="AB190" s="29">
        <f t="shared" si="66"/>
        <v>0.22199999999999998</v>
      </c>
      <c r="AC190" s="30"/>
      <c r="AD190" s="30">
        <f t="shared" si="64"/>
        <v>0.22199999999999998</v>
      </c>
      <c r="AE190" s="29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6">
        <f>0.12+0.102</f>
        <v>0.22199999999999998</v>
      </c>
      <c r="AR190" s="30"/>
      <c r="AS190" s="30"/>
      <c r="AT190" s="30"/>
      <c r="AU190" s="30"/>
      <c r="AV190" s="30">
        <f t="shared" si="67"/>
        <v>0.22199999999999998</v>
      </c>
    </row>
    <row r="191" spans="2:48" ht="12.75">
      <c r="B191" s="26" t="s">
        <v>108</v>
      </c>
      <c r="C191" s="174" t="s">
        <v>666</v>
      </c>
      <c r="D191" s="79">
        <f>0.88+0.126-0.126-0.02</f>
        <v>0.86</v>
      </c>
      <c r="E191" s="244"/>
      <c r="F191" s="245"/>
      <c r="G191" s="167">
        <v>0.799</v>
      </c>
      <c r="H191" s="12">
        <f t="shared" si="65"/>
        <v>0.07166666666666667</v>
      </c>
      <c r="I191" s="12">
        <f t="shared" si="61"/>
        <v>0.07166666666666667</v>
      </c>
      <c r="J191" s="12">
        <f t="shared" si="61"/>
        <v>0.07166666666666667</v>
      </c>
      <c r="K191" s="12">
        <f t="shared" si="61"/>
        <v>0.07166666666666667</v>
      </c>
      <c r="L191" s="12">
        <f t="shared" si="61"/>
        <v>0.07166666666666667</v>
      </c>
      <c r="M191" s="12">
        <f t="shared" si="61"/>
        <v>0.07166666666666667</v>
      </c>
      <c r="N191" s="12">
        <f t="shared" si="61"/>
        <v>0.07166666666666667</v>
      </c>
      <c r="O191" s="12">
        <f t="shared" si="69"/>
        <v>0.07166666666666667</v>
      </c>
      <c r="P191" s="12">
        <f t="shared" si="69"/>
        <v>0.07166666666666667</v>
      </c>
      <c r="Q191" s="12">
        <f t="shared" si="69"/>
        <v>0.07166666666666667</v>
      </c>
      <c r="R191" s="12">
        <f t="shared" si="69"/>
        <v>0.07166666666666667</v>
      </c>
      <c r="S191" s="12">
        <f t="shared" si="69"/>
        <v>0.07166666666666667</v>
      </c>
      <c r="T191" s="150">
        <f t="shared" si="63"/>
        <v>0.7166666666666667</v>
      </c>
      <c r="U191" s="151"/>
      <c r="V191" s="223"/>
      <c r="W191" s="29"/>
      <c r="X191" s="29"/>
      <c r="Y191" s="29">
        <f>0.095-0.005</f>
        <v>0.09</v>
      </c>
      <c r="Z191" s="29">
        <f>0.123-0.015</f>
        <v>0.108</v>
      </c>
      <c r="AA191" s="29"/>
      <c r="AB191" s="29">
        <f t="shared" si="66"/>
        <v>0.639</v>
      </c>
      <c r="AC191" s="30">
        <v>0.023</v>
      </c>
      <c r="AD191" s="30">
        <f>SUM(W191:AC191)</f>
        <v>0.86</v>
      </c>
      <c r="AE191" s="29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6">
        <f>0.734+0.031-0.126</f>
        <v>0.639</v>
      </c>
      <c r="AR191" s="30"/>
      <c r="AS191" s="30"/>
      <c r="AT191" s="30"/>
      <c r="AU191" s="30"/>
      <c r="AV191" s="30">
        <f t="shared" si="67"/>
        <v>0.639</v>
      </c>
    </row>
    <row r="192" spans="2:48" ht="12.75">
      <c r="B192" s="26" t="s">
        <v>107</v>
      </c>
      <c r="C192" s="174" t="s">
        <v>92</v>
      </c>
      <c r="D192" s="79">
        <f>0.311-0.158+0.085-0.024</f>
        <v>0.214</v>
      </c>
      <c r="E192" s="244"/>
      <c r="F192" s="245"/>
      <c r="G192" s="167">
        <v>0.153</v>
      </c>
      <c r="H192" s="12">
        <f t="shared" si="65"/>
        <v>0.017833333333333333</v>
      </c>
      <c r="I192" s="12">
        <f t="shared" si="61"/>
        <v>0.017833333333333333</v>
      </c>
      <c r="J192" s="12">
        <f t="shared" si="61"/>
        <v>0.017833333333333333</v>
      </c>
      <c r="K192" s="12">
        <f t="shared" si="61"/>
        <v>0.017833333333333333</v>
      </c>
      <c r="L192" s="12">
        <f t="shared" si="61"/>
        <v>0.017833333333333333</v>
      </c>
      <c r="M192" s="12">
        <f t="shared" si="61"/>
        <v>0.017833333333333333</v>
      </c>
      <c r="N192" s="12">
        <f t="shared" si="61"/>
        <v>0.017833333333333333</v>
      </c>
      <c r="O192" s="12">
        <f t="shared" si="69"/>
        <v>0.017833333333333333</v>
      </c>
      <c r="P192" s="12">
        <f t="shared" si="69"/>
        <v>0.017833333333333333</v>
      </c>
      <c r="Q192" s="12">
        <f t="shared" si="69"/>
        <v>0.017833333333333333</v>
      </c>
      <c r="R192" s="12">
        <f t="shared" si="69"/>
        <v>0.017833333333333333</v>
      </c>
      <c r="S192" s="12">
        <f t="shared" si="69"/>
        <v>0.017833333333333333</v>
      </c>
      <c r="T192" s="150">
        <f t="shared" si="63"/>
        <v>0.17833333333333337</v>
      </c>
      <c r="U192" s="151"/>
      <c r="V192" s="223"/>
      <c r="W192" s="29"/>
      <c r="X192" s="29"/>
      <c r="Y192" s="29"/>
      <c r="Z192" s="29"/>
      <c r="AA192" s="29">
        <f>0.211+0.003</f>
        <v>0.214</v>
      </c>
      <c r="AB192" s="29">
        <f t="shared" si="66"/>
        <v>0</v>
      </c>
      <c r="AC192" s="30"/>
      <c r="AD192" s="30">
        <f t="shared" si="64"/>
        <v>0.214</v>
      </c>
      <c r="AE192" s="29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6">
        <f>0.027-0.027</f>
        <v>0</v>
      </c>
      <c r="AR192" s="30"/>
      <c r="AS192" s="30"/>
      <c r="AT192" s="30"/>
      <c r="AU192" s="30"/>
      <c r="AV192" s="30">
        <f t="shared" si="67"/>
        <v>0</v>
      </c>
    </row>
    <row r="193" spans="2:48" ht="12.75">
      <c r="B193" s="26" t="s">
        <v>690</v>
      </c>
      <c r="C193" s="174" t="s">
        <v>691</v>
      </c>
      <c r="D193" s="79">
        <v>0.044</v>
      </c>
      <c r="E193" s="244"/>
      <c r="F193" s="245"/>
      <c r="G193" s="167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>
        <v>0.022</v>
      </c>
      <c r="S193" s="12">
        <v>0.022</v>
      </c>
      <c r="T193" s="150"/>
      <c r="U193" s="151"/>
      <c r="V193" s="223"/>
      <c r="W193" s="29"/>
      <c r="X193" s="29"/>
      <c r="Y193" s="29"/>
      <c r="Z193" s="29">
        <v>0.044</v>
      </c>
      <c r="AA193" s="29"/>
      <c r="AB193" s="29">
        <f>SUM(AF193:AU193)</f>
        <v>0</v>
      </c>
      <c r="AC193" s="30"/>
      <c r="AD193" s="30">
        <f>SUM(W193:AC193)</f>
        <v>0.044</v>
      </c>
      <c r="AE193" s="29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6"/>
      <c r="AR193" s="30"/>
      <c r="AS193" s="30"/>
      <c r="AT193" s="30"/>
      <c r="AU193" s="30"/>
      <c r="AV193" s="30"/>
    </row>
    <row r="194" spans="2:48" ht="12.75">
      <c r="B194" s="26" t="s">
        <v>106</v>
      </c>
      <c r="C194" s="174" t="s">
        <v>246</v>
      </c>
      <c r="D194" s="79">
        <v>0.015</v>
      </c>
      <c r="E194" s="244"/>
      <c r="F194" s="245"/>
      <c r="G194" s="167">
        <v>0.015</v>
      </c>
      <c r="H194" s="12">
        <f t="shared" si="65"/>
        <v>0.00125</v>
      </c>
      <c r="I194" s="12">
        <f t="shared" si="61"/>
        <v>0.00125</v>
      </c>
      <c r="J194" s="12">
        <f t="shared" si="61"/>
        <v>0.00125</v>
      </c>
      <c r="K194" s="12">
        <f t="shared" si="61"/>
        <v>0.00125</v>
      </c>
      <c r="L194" s="12">
        <f t="shared" si="61"/>
        <v>0.00125</v>
      </c>
      <c r="M194" s="12">
        <f t="shared" si="61"/>
        <v>0.00125</v>
      </c>
      <c r="N194" s="12">
        <f t="shared" si="61"/>
        <v>0.00125</v>
      </c>
      <c r="O194" s="12">
        <f t="shared" si="69"/>
        <v>0.00125</v>
      </c>
      <c r="P194" s="12">
        <f t="shared" si="69"/>
        <v>0.00125</v>
      </c>
      <c r="Q194" s="12">
        <f t="shared" si="69"/>
        <v>0.00125</v>
      </c>
      <c r="R194" s="12">
        <f t="shared" si="69"/>
        <v>0.00125</v>
      </c>
      <c r="S194" s="12">
        <f t="shared" si="69"/>
        <v>0.00125</v>
      </c>
      <c r="T194" s="150">
        <f t="shared" si="63"/>
        <v>0.012499999999999999</v>
      </c>
      <c r="U194" s="151"/>
      <c r="V194" s="223"/>
      <c r="W194" s="29"/>
      <c r="X194" s="29"/>
      <c r="Y194" s="29"/>
      <c r="Z194" s="29"/>
      <c r="AA194" s="29"/>
      <c r="AB194" s="29">
        <f t="shared" si="66"/>
        <v>0.015</v>
      </c>
      <c r="AC194" s="30"/>
      <c r="AD194" s="30">
        <f t="shared" si="64"/>
        <v>0.015</v>
      </c>
      <c r="AE194" s="29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6">
        <v>0.015</v>
      </c>
      <c r="AR194" s="30"/>
      <c r="AS194" s="30"/>
      <c r="AT194" s="30"/>
      <c r="AU194" s="30"/>
      <c r="AV194" s="30">
        <f t="shared" si="67"/>
        <v>0.015</v>
      </c>
    </row>
    <row r="195" spans="2:48" ht="12.75">
      <c r="B195" s="26" t="s">
        <v>105</v>
      </c>
      <c r="C195" s="174" t="s">
        <v>251</v>
      </c>
      <c r="D195" s="79">
        <v>0.063</v>
      </c>
      <c r="E195" s="244"/>
      <c r="F195" s="245"/>
      <c r="G195" s="167">
        <v>0.064</v>
      </c>
      <c r="H195" s="12">
        <f t="shared" si="65"/>
        <v>0.00525</v>
      </c>
      <c r="I195" s="12">
        <f t="shared" si="61"/>
        <v>0.00525</v>
      </c>
      <c r="J195" s="12">
        <f t="shared" si="61"/>
        <v>0.00525</v>
      </c>
      <c r="K195" s="12">
        <f t="shared" si="61"/>
        <v>0.00525</v>
      </c>
      <c r="L195" s="12">
        <f t="shared" si="61"/>
        <v>0.00525</v>
      </c>
      <c r="M195" s="12">
        <f t="shared" si="61"/>
        <v>0.00525</v>
      </c>
      <c r="N195" s="12">
        <f t="shared" si="61"/>
        <v>0.00525</v>
      </c>
      <c r="O195" s="12">
        <f t="shared" si="69"/>
        <v>0.00525</v>
      </c>
      <c r="P195" s="12">
        <f t="shared" si="69"/>
        <v>0.00525</v>
      </c>
      <c r="Q195" s="12">
        <f t="shared" si="69"/>
        <v>0.00525</v>
      </c>
      <c r="R195" s="12">
        <f t="shared" si="69"/>
        <v>0.00525</v>
      </c>
      <c r="S195" s="12">
        <f t="shared" si="69"/>
        <v>0.00525</v>
      </c>
      <c r="T195" s="150">
        <f t="shared" si="63"/>
        <v>0.05249999999999999</v>
      </c>
      <c r="U195" s="151"/>
      <c r="V195" s="223"/>
      <c r="W195" s="29"/>
      <c r="X195" s="29"/>
      <c r="Y195" s="29"/>
      <c r="Z195" s="29"/>
      <c r="AA195" s="29"/>
      <c r="AB195" s="29">
        <f t="shared" si="66"/>
        <v>0.063</v>
      </c>
      <c r="AC195" s="30"/>
      <c r="AD195" s="30">
        <f t="shared" si="64"/>
        <v>0.063</v>
      </c>
      <c r="AE195" s="29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6">
        <v>0.063</v>
      </c>
      <c r="AR195" s="30"/>
      <c r="AS195" s="30"/>
      <c r="AT195" s="30"/>
      <c r="AU195" s="30"/>
      <c r="AV195" s="30">
        <f t="shared" si="67"/>
        <v>0.063</v>
      </c>
    </row>
    <row r="196" spans="2:49" ht="12.75">
      <c r="B196" s="26" t="s">
        <v>104</v>
      </c>
      <c r="C196" s="174" t="s">
        <v>100</v>
      </c>
      <c r="D196" s="79">
        <f>0.464-0.013</f>
        <v>0.451</v>
      </c>
      <c r="E196" s="244"/>
      <c r="F196" s="245"/>
      <c r="G196" s="167">
        <v>0.157</v>
      </c>
      <c r="H196" s="12">
        <f t="shared" si="65"/>
        <v>0.03758333333333334</v>
      </c>
      <c r="I196" s="12">
        <f t="shared" si="61"/>
        <v>0.03758333333333334</v>
      </c>
      <c r="J196" s="12">
        <f t="shared" si="61"/>
        <v>0.03758333333333334</v>
      </c>
      <c r="K196" s="12">
        <f t="shared" si="61"/>
        <v>0.03758333333333334</v>
      </c>
      <c r="L196" s="12">
        <f t="shared" si="61"/>
        <v>0.03758333333333334</v>
      </c>
      <c r="M196" s="12">
        <f t="shared" si="61"/>
        <v>0.03758333333333334</v>
      </c>
      <c r="N196" s="12">
        <f t="shared" si="61"/>
        <v>0.03758333333333334</v>
      </c>
      <c r="O196" s="12">
        <f t="shared" si="69"/>
        <v>0.03758333333333334</v>
      </c>
      <c r="P196" s="12">
        <f t="shared" si="69"/>
        <v>0.03758333333333334</v>
      </c>
      <c r="Q196" s="12">
        <f t="shared" si="69"/>
        <v>0.03758333333333334</v>
      </c>
      <c r="R196" s="12">
        <f t="shared" si="69"/>
        <v>0.03758333333333334</v>
      </c>
      <c r="S196" s="12">
        <f t="shared" si="69"/>
        <v>0.03758333333333334</v>
      </c>
      <c r="T196" s="150">
        <f t="shared" si="63"/>
        <v>0.3758333333333334</v>
      </c>
      <c r="U196" s="151"/>
      <c r="V196" s="223"/>
      <c r="W196" s="29"/>
      <c r="X196" s="29"/>
      <c r="Y196" s="29"/>
      <c r="Z196" s="29"/>
      <c r="AA196" s="29"/>
      <c r="AB196" s="29">
        <f t="shared" si="66"/>
        <v>0</v>
      </c>
      <c r="AC196" s="30">
        <f>0.464-0.013</f>
        <v>0.451</v>
      </c>
      <c r="AD196" s="30">
        <f t="shared" si="64"/>
        <v>0.451</v>
      </c>
      <c r="AE196" s="29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6"/>
      <c r="AR196" s="30"/>
      <c r="AS196" s="30"/>
      <c r="AT196" s="30"/>
      <c r="AU196" s="30"/>
      <c r="AV196" s="30">
        <f t="shared" si="67"/>
        <v>0</v>
      </c>
      <c r="AW196" s="26" t="s">
        <v>639</v>
      </c>
    </row>
    <row r="197" spans="2:48" ht="12.75">
      <c r="B197" s="26" t="s">
        <v>103</v>
      </c>
      <c r="C197" s="174" t="s">
        <v>101</v>
      </c>
      <c r="D197" s="79">
        <v>0.015</v>
      </c>
      <c r="E197" s="244"/>
      <c r="F197" s="245"/>
      <c r="G197" s="167">
        <v>0.013</v>
      </c>
      <c r="H197" s="12">
        <f t="shared" si="65"/>
        <v>0.00125</v>
      </c>
      <c r="I197" s="12">
        <f t="shared" si="61"/>
        <v>0.00125</v>
      </c>
      <c r="J197" s="12">
        <f t="shared" si="61"/>
        <v>0.00125</v>
      </c>
      <c r="K197" s="12">
        <f t="shared" si="61"/>
        <v>0.00125</v>
      </c>
      <c r="L197" s="12">
        <f t="shared" si="61"/>
        <v>0.00125</v>
      </c>
      <c r="M197" s="12">
        <f t="shared" si="61"/>
        <v>0.00125</v>
      </c>
      <c r="N197" s="12">
        <f t="shared" si="61"/>
        <v>0.00125</v>
      </c>
      <c r="O197" s="12">
        <f t="shared" si="69"/>
        <v>0.00125</v>
      </c>
      <c r="P197" s="12">
        <f t="shared" si="69"/>
        <v>0.00125</v>
      </c>
      <c r="Q197" s="12">
        <f t="shared" si="69"/>
        <v>0.00125</v>
      </c>
      <c r="R197" s="12">
        <f t="shared" si="69"/>
        <v>0.00125</v>
      </c>
      <c r="S197" s="12">
        <f t="shared" si="69"/>
        <v>0.00125</v>
      </c>
      <c r="T197" s="150">
        <f t="shared" si="63"/>
        <v>0.012499999999999999</v>
      </c>
      <c r="U197" s="151"/>
      <c r="V197" s="223"/>
      <c r="W197" s="29"/>
      <c r="X197" s="29"/>
      <c r="Y197" s="29"/>
      <c r="Z197" s="29"/>
      <c r="AA197" s="29"/>
      <c r="AB197" s="29">
        <f t="shared" si="66"/>
        <v>0.015</v>
      </c>
      <c r="AC197" s="30"/>
      <c r="AD197" s="30">
        <f t="shared" si="64"/>
        <v>0.015</v>
      </c>
      <c r="AE197" s="29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6">
        <v>0.015</v>
      </c>
      <c r="AR197" s="30"/>
      <c r="AS197" s="30"/>
      <c r="AT197" s="30"/>
      <c r="AU197" s="30"/>
      <c r="AV197" s="30">
        <f t="shared" si="67"/>
        <v>0.015</v>
      </c>
    </row>
    <row r="198" spans="3:48" ht="12.75">
      <c r="C198" s="174" t="s">
        <v>626</v>
      </c>
      <c r="D198" s="79">
        <v>0.018</v>
      </c>
      <c r="E198" s="244"/>
      <c r="F198" s="245"/>
      <c r="G198" s="167"/>
      <c r="H198" s="12">
        <f t="shared" si="65"/>
        <v>0.0014999999999999998</v>
      </c>
      <c r="I198" s="12">
        <f t="shared" si="61"/>
        <v>0.0014999999999999998</v>
      </c>
      <c r="J198" s="12">
        <f t="shared" si="61"/>
        <v>0.0014999999999999998</v>
      </c>
      <c r="K198" s="12">
        <f t="shared" si="61"/>
        <v>0.0014999999999999998</v>
      </c>
      <c r="L198" s="12">
        <f t="shared" si="61"/>
        <v>0.0014999999999999998</v>
      </c>
      <c r="M198" s="12">
        <f t="shared" si="61"/>
        <v>0.0014999999999999998</v>
      </c>
      <c r="N198" s="12">
        <f t="shared" si="61"/>
        <v>0.0014999999999999998</v>
      </c>
      <c r="O198" s="12">
        <f t="shared" si="69"/>
        <v>0.0014999999999999998</v>
      </c>
      <c r="P198" s="12">
        <f t="shared" si="69"/>
        <v>0.0014999999999999998</v>
      </c>
      <c r="Q198" s="12">
        <f t="shared" si="69"/>
        <v>0.0014999999999999998</v>
      </c>
      <c r="R198" s="12">
        <f t="shared" si="69"/>
        <v>0.0014999999999999998</v>
      </c>
      <c r="S198" s="12">
        <f t="shared" si="69"/>
        <v>0.0014999999999999998</v>
      </c>
      <c r="T198" s="150">
        <f t="shared" si="63"/>
        <v>0.014999999999999998</v>
      </c>
      <c r="U198" s="151"/>
      <c r="V198" s="223"/>
      <c r="W198" s="29"/>
      <c r="X198" s="29"/>
      <c r="Y198" s="29"/>
      <c r="Z198" s="29"/>
      <c r="AA198" s="29"/>
      <c r="AB198" s="29">
        <f>SUM(AF198:AU198)</f>
        <v>0.018</v>
      </c>
      <c r="AC198" s="30"/>
      <c r="AD198" s="30">
        <f>SUM(W198:AC198)</f>
        <v>0.018</v>
      </c>
      <c r="AE198" s="29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6">
        <v>0.018</v>
      </c>
      <c r="AR198" s="30"/>
      <c r="AS198" s="30"/>
      <c r="AT198" s="30"/>
      <c r="AU198" s="30"/>
      <c r="AV198" s="30">
        <f t="shared" si="67"/>
        <v>0.018</v>
      </c>
    </row>
    <row r="199" spans="3:48" ht="12.75">
      <c r="C199" s="174" t="s">
        <v>627</v>
      </c>
      <c r="D199" s="79">
        <v>0.114</v>
      </c>
      <c r="E199" s="244"/>
      <c r="F199" s="245"/>
      <c r="G199" s="167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>
        <v>0.114</v>
      </c>
      <c r="T199" s="150">
        <f t="shared" si="63"/>
        <v>0</v>
      </c>
      <c r="U199" s="151"/>
      <c r="V199" s="223"/>
      <c r="W199" s="29"/>
      <c r="X199" s="29"/>
      <c r="Y199" s="29"/>
      <c r="Z199" s="29"/>
      <c r="AA199" s="29"/>
      <c r="AB199" s="29">
        <f>SUM(AF199:AU199)</f>
        <v>0.114</v>
      </c>
      <c r="AC199" s="30"/>
      <c r="AD199" s="30">
        <f>SUM(W199:AC199)</f>
        <v>0.114</v>
      </c>
      <c r="AE199" s="29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6">
        <v>0.114</v>
      </c>
      <c r="AR199" s="30"/>
      <c r="AS199" s="30"/>
      <c r="AT199" s="30"/>
      <c r="AU199" s="30"/>
      <c r="AV199" s="30">
        <f t="shared" si="67"/>
        <v>0.114</v>
      </c>
    </row>
    <row r="200" spans="3:49" ht="12.75">
      <c r="C200" s="174" t="s">
        <v>688</v>
      </c>
      <c r="D200" s="79">
        <v>0.08</v>
      </c>
      <c r="E200" s="244"/>
      <c r="F200" s="245"/>
      <c r="G200" s="167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>
        <v>0.08</v>
      </c>
      <c r="T200" s="150">
        <f t="shared" si="63"/>
        <v>0</v>
      </c>
      <c r="U200" s="151"/>
      <c r="V200" s="223"/>
      <c r="W200" s="29"/>
      <c r="X200" s="29"/>
      <c r="Y200" s="29"/>
      <c r="Z200" s="29"/>
      <c r="AA200" s="29"/>
      <c r="AB200" s="29">
        <f>SUM(AF200:AU200)</f>
        <v>0.08</v>
      </c>
      <c r="AC200" s="30"/>
      <c r="AD200" s="30">
        <f>SUM(W200:AC200)</f>
        <v>0.08</v>
      </c>
      <c r="AE200" s="29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6"/>
      <c r="AR200" s="30"/>
      <c r="AS200" s="30"/>
      <c r="AT200" s="30"/>
      <c r="AU200" s="30">
        <v>0.08</v>
      </c>
      <c r="AV200" s="30">
        <f t="shared" si="67"/>
        <v>0.08</v>
      </c>
      <c r="AW200" s="26" t="s">
        <v>689</v>
      </c>
    </row>
    <row r="201" spans="2:48" ht="12.75">
      <c r="B201" s="26" t="s">
        <v>685</v>
      </c>
      <c r="C201" s="174" t="s">
        <v>653</v>
      </c>
      <c r="D201" s="79">
        <v>0.07</v>
      </c>
      <c r="E201" s="244"/>
      <c r="F201" s="245"/>
      <c r="G201" s="167">
        <v>0.062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>
        <v>0.03</v>
      </c>
      <c r="R201" s="12">
        <v>0.03</v>
      </c>
      <c r="S201" s="12">
        <v>0.01</v>
      </c>
      <c r="T201" s="150">
        <f t="shared" si="63"/>
        <v>0.03</v>
      </c>
      <c r="U201" s="151"/>
      <c r="V201" s="223"/>
      <c r="W201" s="29"/>
      <c r="X201" s="29"/>
      <c r="Y201" s="29">
        <v>0.07</v>
      </c>
      <c r="Z201" s="29"/>
      <c r="AA201" s="29"/>
      <c r="AB201" s="29">
        <f>SUM(AF201:AU201)</f>
        <v>0</v>
      </c>
      <c r="AC201" s="30"/>
      <c r="AD201" s="30">
        <f>SUM(W201:AC201)</f>
        <v>0.07</v>
      </c>
      <c r="AE201" s="29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6"/>
      <c r="AR201" s="30"/>
      <c r="AS201" s="30"/>
      <c r="AT201" s="30"/>
      <c r="AU201" s="30"/>
      <c r="AV201" s="30"/>
    </row>
    <row r="202" spans="2:49" ht="12.75">
      <c r="B202" s="26" t="s">
        <v>102</v>
      </c>
      <c r="C202" s="174" t="s">
        <v>99</v>
      </c>
      <c r="D202" s="79">
        <v>0.02</v>
      </c>
      <c r="E202" s="244"/>
      <c r="F202" s="245"/>
      <c r="G202" s="167">
        <v>0.017</v>
      </c>
      <c r="H202" s="12">
        <f t="shared" si="65"/>
        <v>0.0016666666666666668</v>
      </c>
      <c r="I202" s="12">
        <f t="shared" si="61"/>
        <v>0.0016666666666666668</v>
      </c>
      <c r="J202" s="12">
        <f t="shared" si="61"/>
        <v>0.0016666666666666668</v>
      </c>
      <c r="K202" s="12">
        <f t="shared" si="61"/>
        <v>0.0016666666666666668</v>
      </c>
      <c r="L202" s="12">
        <f t="shared" si="61"/>
        <v>0.0016666666666666668</v>
      </c>
      <c r="M202" s="12">
        <f t="shared" si="61"/>
        <v>0.0016666666666666668</v>
      </c>
      <c r="N202" s="12">
        <f t="shared" si="61"/>
        <v>0.0016666666666666668</v>
      </c>
      <c r="O202" s="12">
        <f t="shared" si="69"/>
        <v>0.0016666666666666668</v>
      </c>
      <c r="P202" s="12">
        <f t="shared" si="69"/>
        <v>0.0016666666666666668</v>
      </c>
      <c r="Q202" s="12">
        <f t="shared" si="69"/>
        <v>0.0016666666666666668</v>
      </c>
      <c r="R202" s="12">
        <f t="shared" si="69"/>
        <v>0.0016666666666666668</v>
      </c>
      <c r="S202" s="12">
        <f t="shared" si="69"/>
        <v>0.0016666666666666668</v>
      </c>
      <c r="T202" s="150">
        <f t="shared" si="63"/>
        <v>0.016666666666666666</v>
      </c>
      <c r="U202" s="151"/>
      <c r="V202" s="223"/>
      <c r="W202" s="29"/>
      <c r="X202" s="29"/>
      <c r="Y202" s="29"/>
      <c r="Z202" s="29"/>
      <c r="AA202" s="29"/>
      <c r="AB202" s="29">
        <f t="shared" si="66"/>
        <v>0.014</v>
      </c>
      <c r="AC202" s="30">
        <v>0.006</v>
      </c>
      <c r="AD202" s="30">
        <f t="shared" si="64"/>
        <v>0.02</v>
      </c>
      <c r="AE202" s="29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6"/>
      <c r="AR202" s="30"/>
      <c r="AS202" s="30"/>
      <c r="AT202" s="30"/>
      <c r="AU202" s="30">
        <v>0.014</v>
      </c>
      <c r="AV202" s="30">
        <f t="shared" si="67"/>
        <v>0.014</v>
      </c>
      <c r="AW202" s="26" t="s">
        <v>625</v>
      </c>
    </row>
    <row r="203" spans="3:48" ht="13.5" thickBot="1">
      <c r="C203" s="5"/>
      <c r="E203" s="244"/>
      <c r="F203" s="245"/>
      <c r="G203" s="167"/>
      <c r="T203" s="150"/>
      <c r="U203" s="151"/>
      <c r="V203" s="223"/>
      <c r="W203" s="29"/>
      <c r="X203" s="29"/>
      <c r="Y203" s="29"/>
      <c r="Z203" s="29"/>
      <c r="AA203" s="29"/>
      <c r="AB203" s="29">
        <f>SUM(AF203:AU203)</f>
        <v>0</v>
      </c>
      <c r="AC203" s="30"/>
      <c r="AD203" s="30">
        <f t="shared" si="64"/>
        <v>0</v>
      </c>
      <c r="AE203" s="29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6"/>
      <c r="AR203" s="30"/>
      <c r="AS203" s="30"/>
      <c r="AT203" s="30"/>
      <c r="AU203" s="30"/>
      <c r="AV203" s="30"/>
    </row>
    <row r="204" spans="3:48" ht="13.5" thickBot="1">
      <c r="C204" s="7" t="s">
        <v>306</v>
      </c>
      <c r="D204" s="18">
        <f>SUM(D173:D203)</f>
        <v>4.812999999999998</v>
      </c>
      <c r="E204" s="242"/>
      <c r="F204" s="243"/>
      <c r="G204" s="310">
        <f aca="true" t="shared" si="70" ref="G204:S204">SUM(G173:G203)</f>
        <v>3.7220000000000004</v>
      </c>
      <c r="H204" s="87">
        <f t="shared" si="70"/>
        <v>0.3648333333333333</v>
      </c>
      <c r="I204" s="88">
        <f t="shared" si="70"/>
        <v>0.3648333333333333</v>
      </c>
      <c r="J204" s="88">
        <f t="shared" si="70"/>
        <v>0.3648333333333333</v>
      </c>
      <c r="K204" s="88">
        <f t="shared" si="70"/>
        <v>0.3648333333333333</v>
      </c>
      <c r="L204" s="88">
        <f t="shared" si="70"/>
        <v>0.3648333333333333</v>
      </c>
      <c r="M204" s="88">
        <f t="shared" si="70"/>
        <v>0.3648333333333333</v>
      </c>
      <c r="N204" s="88">
        <f t="shared" si="70"/>
        <v>0.3648333333333333</v>
      </c>
      <c r="O204" s="88">
        <f t="shared" si="70"/>
        <v>0.3648333333333333</v>
      </c>
      <c r="P204" s="88">
        <f t="shared" si="70"/>
        <v>0.4248333333333333</v>
      </c>
      <c r="Q204" s="88">
        <f t="shared" si="70"/>
        <v>0.46183333333333326</v>
      </c>
      <c r="R204" s="88">
        <f t="shared" si="70"/>
        <v>0.41683333333333333</v>
      </c>
      <c r="S204" s="88">
        <f t="shared" si="70"/>
        <v>0.5908333333333333</v>
      </c>
      <c r="T204" s="183">
        <f>SUM(T173:T203)</f>
        <v>3.8053333333333335</v>
      </c>
      <c r="U204" s="151"/>
      <c r="V204" s="223"/>
      <c r="W204" s="23">
        <f aca="true" t="shared" si="71" ref="W204:AC204">SUM(W173:W203)</f>
        <v>0</v>
      </c>
      <c r="X204" s="23">
        <f t="shared" si="71"/>
        <v>0</v>
      </c>
      <c r="Y204" s="23">
        <f t="shared" si="71"/>
        <v>0.378</v>
      </c>
      <c r="Z204" s="23">
        <f t="shared" si="71"/>
        <v>0.189</v>
      </c>
      <c r="AA204" s="23">
        <f t="shared" si="71"/>
        <v>0.5770000000000001</v>
      </c>
      <c r="AB204" s="23">
        <f t="shared" si="71"/>
        <v>3.059</v>
      </c>
      <c r="AC204" s="23">
        <f t="shared" si="71"/>
        <v>0.61</v>
      </c>
      <c r="AD204" s="91">
        <f t="shared" si="64"/>
        <v>4.813000000000001</v>
      </c>
      <c r="AE204" s="29"/>
      <c r="AF204" s="23">
        <f aca="true" t="shared" si="72" ref="AF204:AU204">SUM(AF173:AF203)</f>
        <v>0</v>
      </c>
      <c r="AG204" s="23">
        <f t="shared" si="72"/>
        <v>0</v>
      </c>
      <c r="AH204" s="23">
        <f t="shared" si="72"/>
        <v>0</v>
      </c>
      <c r="AI204" s="23">
        <f t="shared" si="72"/>
        <v>0</v>
      </c>
      <c r="AJ204" s="23">
        <f t="shared" si="72"/>
        <v>0</v>
      </c>
      <c r="AK204" s="23">
        <f t="shared" si="72"/>
        <v>0</v>
      </c>
      <c r="AL204" s="23">
        <f t="shared" si="72"/>
        <v>0</v>
      </c>
      <c r="AM204" s="23">
        <f t="shared" si="72"/>
        <v>0</v>
      </c>
      <c r="AN204" s="23">
        <f t="shared" si="72"/>
        <v>0</v>
      </c>
      <c r="AO204" s="23">
        <f t="shared" si="72"/>
        <v>0</v>
      </c>
      <c r="AP204" s="23">
        <f t="shared" si="72"/>
        <v>0.6390000000000001</v>
      </c>
      <c r="AQ204" s="23">
        <f t="shared" si="72"/>
        <v>1.4289999999999998</v>
      </c>
      <c r="AR204" s="23">
        <f t="shared" si="72"/>
        <v>0</v>
      </c>
      <c r="AS204" s="23">
        <f t="shared" si="72"/>
        <v>0</v>
      </c>
      <c r="AT204" s="23">
        <f t="shared" si="72"/>
        <v>0</v>
      </c>
      <c r="AU204" s="160">
        <f t="shared" si="72"/>
        <v>0.991</v>
      </c>
      <c r="AV204" s="180">
        <f>SUM(AF204:AU204)</f>
        <v>3.059</v>
      </c>
    </row>
    <row r="205" spans="3:48" ht="12.75">
      <c r="C205" s="7"/>
      <c r="D205" s="7"/>
      <c r="E205" s="248"/>
      <c r="F205" s="249"/>
      <c r="G205" s="309"/>
      <c r="H205" s="81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83"/>
      <c r="U205" s="151"/>
      <c r="V205" s="223"/>
      <c r="W205" s="29"/>
      <c r="X205" s="29"/>
      <c r="Y205" s="29"/>
      <c r="Z205" s="29"/>
      <c r="AA205" s="29"/>
      <c r="AB205" s="29"/>
      <c r="AC205" s="30"/>
      <c r="AD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</row>
    <row r="206" spans="3:48" ht="12.75">
      <c r="C206" s="7" t="s">
        <v>397</v>
      </c>
      <c r="D206" s="5"/>
      <c r="E206" s="235"/>
      <c r="F206" s="237"/>
      <c r="G206" s="309"/>
      <c r="H206" s="81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50"/>
      <c r="U206" s="151"/>
      <c r="V206" s="223"/>
      <c r="W206" s="29"/>
      <c r="X206" s="29"/>
      <c r="Y206" s="29"/>
      <c r="Z206" s="29"/>
      <c r="AA206" s="29"/>
      <c r="AB206" s="29"/>
      <c r="AC206" s="30"/>
      <c r="AD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</row>
    <row r="207" spans="2:48" ht="12.75">
      <c r="B207" s="77" t="s">
        <v>466</v>
      </c>
      <c r="C207" s="44" t="s">
        <v>664</v>
      </c>
      <c r="D207" s="166">
        <f>1.713+0.3+0.212-0.25-0.067-0.037</f>
        <v>1.8710000000000002</v>
      </c>
      <c r="E207" s="235"/>
      <c r="F207" s="237"/>
      <c r="G207" s="167"/>
      <c r="H207" s="81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>
        <v>1.871</v>
      </c>
      <c r="T207" s="150">
        <f aca="true" t="shared" si="73" ref="T207:T217">SUM(H207:Q207)</f>
        <v>0</v>
      </c>
      <c r="U207" s="151"/>
      <c r="V207" s="223"/>
      <c r="W207" s="29"/>
      <c r="X207" s="29"/>
      <c r="Y207" s="29"/>
      <c r="Z207" s="29"/>
      <c r="AA207" s="29">
        <f>2.013+0.212-0.25-0.067-0.037</f>
        <v>1.8710000000000002</v>
      </c>
      <c r="AB207" s="29">
        <f>SUM(AF207:AU207)</f>
        <v>0</v>
      </c>
      <c r="AC207" s="30"/>
      <c r="AD207" s="30">
        <f aca="true" t="shared" si="74" ref="AD207:AD218">SUM(W207:AC207)</f>
        <v>1.8710000000000002</v>
      </c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>
        <f aca="true" t="shared" si="75" ref="AV207:AV217">SUM(AF207:AU207)</f>
        <v>0</v>
      </c>
    </row>
    <row r="208" spans="1:48" ht="12.75">
      <c r="A208" s="11" t="s">
        <v>561</v>
      </c>
      <c r="B208" s="77" t="s">
        <v>4</v>
      </c>
      <c r="C208" s="5" t="s">
        <v>373</v>
      </c>
      <c r="D208" s="5">
        <f>0.2-0.036</f>
        <v>0.164</v>
      </c>
      <c r="E208" s="235"/>
      <c r="F208" s="237"/>
      <c r="G208" s="167"/>
      <c r="H208" s="12">
        <f>D208/12</f>
        <v>0.013666666666666667</v>
      </c>
      <c r="I208" s="12">
        <f aca="true" t="shared" si="76" ref="I208:S211">H208</f>
        <v>0.013666666666666667</v>
      </c>
      <c r="J208" s="12">
        <f t="shared" si="76"/>
        <v>0.013666666666666667</v>
      </c>
      <c r="K208" s="12">
        <f t="shared" si="76"/>
        <v>0.013666666666666667</v>
      </c>
      <c r="L208" s="12">
        <f t="shared" si="76"/>
        <v>0.013666666666666667</v>
      </c>
      <c r="M208" s="12">
        <f t="shared" si="76"/>
        <v>0.013666666666666667</v>
      </c>
      <c r="N208" s="12">
        <f t="shared" si="76"/>
        <v>0.013666666666666667</v>
      </c>
      <c r="O208" s="12">
        <f t="shared" si="76"/>
        <v>0.013666666666666667</v>
      </c>
      <c r="P208" s="12">
        <f t="shared" si="76"/>
        <v>0.013666666666666667</v>
      </c>
      <c r="Q208" s="12">
        <f t="shared" si="76"/>
        <v>0.013666666666666667</v>
      </c>
      <c r="R208" s="12">
        <f t="shared" si="76"/>
        <v>0.013666666666666667</v>
      </c>
      <c r="S208" s="12">
        <f t="shared" si="76"/>
        <v>0.013666666666666667</v>
      </c>
      <c r="T208" s="150">
        <f t="shared" si="73"/>
        <v>0.13666666666666663</v>
      </c>
      <c r="U208" s="151"/>
      <c r="V208" s="223"/>
      <c r="W208" s="29"/>
      <c r="X208" s="29"/>
      <c r="Y208" s="29">
        <f>0.2-0.036</f>
        <v>0.164</v>
      </c>
      <c r="Z208" s="29"/>
      <c r="AA208" s="29"/>
      <c r="AB208" s="29">
        <f aca="true" t="shared" si="77" ref="AB208:AB217">SUM(AF208:AU208)</f>
        <v>0</v>
      </c>
      <c r="AC208" s="30">
        <f>0.186-0.186</f>
        <v>0</v>
      </c>
      <c r="AD208" s="30">
        <f t="shared" si="74"/>
        <v>0.164</v>
      </c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>
        <f t="shared" si="75"/>
        <v>0</v>
      </c>
    </row>
    <row r="209" spans="2:48" ht="12.75">
      <c r="B209" s="26" t="s">
        <v>5</v>
      </c>
      <c r="C209" s="5" t="s">
        <v>84</v>
      </c>
      <c r="D209" s="9">
        <f>0.019+0.145-0.019</f>
        <v>0.145</v>
      </c>
      <c r="E209" s="244"/>
      <c r="F209" s="245"/>
      <c r="G209" s="167">
        <v>0.143</v>
      </c>
      <c r="H209" s="12">
        <f>D209/12</f>
        <v>0.012083333333333333</v>
      </c>
      <c r="I209" s="12">
        <f t="shared" si="76"/>
        <v>0.012083333333333333</v>
      </c>
      <c r="J209" s="12">
        <f t="shared" si="76"/>
        <v>0.012083333333333333</v>
      </c>
      <c r="K209" s="12">
        <f t="shared" si="76"/>
        <v>0.012083333333333333</v>
      </c>
      <c r="L209" s="12">
        <f t="shared" si="76"/>
        <v>0.012083333333333333</v>
      </c>
      <c r="M209" s="12">
        <f t="shared" si="76"/>
        <v>0.012083333333333333</v>
      </c>
      <c r="N209" s="12">
        <f t="shared" si="76"/>
        <v>0.012083333333333333</v>
      </c>
      <c r="O209" s="12">
        <f t="shared" si="76"/>
        <v>0.012083333333333333</v>
      </c>
      <c r="P209" s="12">
        <f t="shared" si="76"/>
        <v>0.012083333333333333</v>
      </c>
      <c r="Q209" s="12">
        <f t="shared" si="76"/>
        <v>0.012083333333333333</v>
      </c>
      <c r="R209" s="12">
        <f t="shared" si="76"/>
        <v>0.012083333333333333</v>
      </c>
      <c r="S209" s="12">
        <f t="shared" si="76"/>
        <v>0.012083333333333333</v>
      </c>
      <c r="T209" s="150">
        <f t="shared" si="73"/>
        <v>0.12083333333333333</v>
      </c>
      <c r="U209" s="151"/>
      <c r="V209" s="223"/>
      <c r="W209" s="29"/>
      <c r="X209" s="29"/>
      <c r="Y209" s="29">
        <f>0.019+0.145-0.019</f>
        <v>0.145</v>
      </c>
      <c r="Z209" s="29"/>
      <c r="AA209" s="29"/>
      <c r="AB209" s="29">
        <f t="shared" si="77"/>
        <v>0</v>
      </c>
      <c r="AC209" s="30"/>
      <c r="AD209" s="30">
        <f t="shared" si="74"/>
        <v>0.145</v>
      </c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>
        <f t="shared" si="75"/>
        <v>0</v>
      </c>
    </row>
    <row r="210" spans="1:48" ht="12.75">
      <c r="A210" s="11" t="s">
        <v>561</v>
      </c>
      <c r="B210" s="26" t="s">
        <v>467</v>
      </c>
      <c r="C210" s="5" t="s">
        <v>374</v>
      </c>
      <c r="D210" s="9">
        <f>0.134-0.011</f>
        <v>0.12300000000000001</v>
      </c>
      <c r="E210" s="244"/>
      <c r="F210" s="245"/>
      <c r="G210" s="167">
        <v>0.123</v>
      </c>
      <c r="H210" s="12">
        <f>D210/12</f>
        <v>0.01025</v>
      </c>
      <c r="I210" s="12">
        <f t="shared" si="76"/>
        <v>0.01025</v>
      </c>
      <c r="J210" s="12">
        <f t="shared" si="76"/>
        <v>0.01025</v>
      </c>
      <c r="K210" s="12">
        <f t="shared" si="76"/>
        <v>0.01025</v>
      </c>
      <c r="L210" s="12">
        <f t="shared" si="76"/>
        <v>0.01025</v>
      </c>
      <c r="M210" s="12">
        <f t="shared" si="76"/>
        <v>0.01025</v>
      </c>
      <c r="N210" s="12">
        <f t="shared" si="76"/>
        <v>0.01025</v>
      </c>
      <c r="O210" s="12">
        <f t="shared" si="76"/>
        <v>0.01025</v>
      </c>
      <c r="P210" s="12">
        <f t="shared" si="76"/>
        <v>0.01025</v>
      </c>
      <c r="Q210" s="12">
        <f t="shared" si="76"/>
        <v>0.01025</v>
      </c>
      <c r="R210" s="12">
        <f t="shared" si="76"/>
        <v>0.01025</v>
      </c>
      <c r="S210" s="12">
        <f t="shared" si="76"/>
        <v>0.01025</v>
      </c>
      <c r="T210" s="150">
        <f t="shared" si="73"/>
        <v>0.1025</v>
      </c>
      <c r="U210" s="151"/>
      <c r="V210" s="223"/>
      <c r="W210" s="29"/>
      <c r="X210" s="29"/>
      <c r="Y210" s="29">
        <f>0.134-0.011</f>
        <v>0.12300000000000001</v>
      </c>
      <c r="Z210" s="29"/>
      <c r="AA210" s="29"/>
      <c r="AB210" s="29">
        <f t="shared" si="77"/>
        <v>0</v>
      </c>
      <c r="AC210" s="30"/>
      <c r="AD210" s="30">
        <f t="shared" si="74"/>
        <v>0.12300000000000001</v>
      </c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>
        <f t="shared" si="75"/>
        <v>0</v>
      </c>
    </row>
    <row r="211" spans="2:48" ht="12.75">
      <c r="B211" s="26" t="s">
        <v>380</v>
      </c>
      <c r="C211" s="5" t="s">
        <v>381</v>
      </c>
      <c r="D211" s="9">
        <v>0.012</v>
      </c>
      <c r="E211" s="244"/>
      <c r="F211" s="245"/>
      <c r="G211" s="167">
        <v>0.001</v>
      </c>
      <c r="H211" s="12">
        <f>D211/12</f>
        <v>0.001</v>
      </c>
      <c r="I211" s="12">
        <f t="shared" si="76"/>
        <v>0.001</v>
      </c>
      <c r="J211" s="12">
        <f t="shared" si="76"/>
        <v>0.001</v>
      </c>
      <c r="K211" s="12">
        <f t="shared" si="76"/>
        <v>0.001</v>
      </c>
      <c r="L211" s="12">
        <f t="shared" si="76"/>
        <v>0.001</v>
      </c>
      <c r="M211" s="12">
        <f t="shared" si="76"/>
        <v>0.001</v>
      </c>
      <c r="N211" s="12">
        <f t="shared" si="76"/>
        <v>0.001</v>
      </c>
      <c r="O211" s="12">
        <f t="shared" si="76"/>
        <v>0.001</v>
      </c>
      <c r="P211" s="12">
        <f t="shared" si="76"/>
        <v>0.001</v>
      </c>
      <c r="Q211" s="12">
        <f t="shared" si="76"/>
        <v>0.001</v>
      </c>
      <c r="R211" s="12">
        <f t="shared" si="76"/>
        <v>0.001</v>
      </c>
      <c r="S211" s="12">
        <f t="shared" si="76"/>
        <v>0.001</v>
      </c>
      <c r="T211" s="150">
        <f t="shared" si="73"/>
        <v>0.010000000000000002</v>
      </c>
      <c r="U211" s="151"/>
      <c r="V211" s="223"/>
      <c r="W211" s="29"/>
      <c r="X211" s="29"/>
      <c r="Y211" s="29"/>
      <c r="Z211" s="29"/>
      <c r="AA211" s="29">
        <v>0.012</v>
      </c>
      <c r="AB211" s="29">
        <f t="shared" si="77"/>
        <v>0</v>
      </c>
      <c r="AC211" s="30"/>
      <c r="AD211" s="30">
        <f t="shared" si="74"/>
        <v>0.012</v>
      </c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>
        <f t="shared" si="75"/>
        <v>0</v>
      </c>
    </row>
    <row r="212" spans="1:48" ht="12.75">
      <c r="A212" s="26" t="s">
        <v>425</v>
      </c>
      <c r="B212" s="26" t="s">
        <v>631</v>
      </c>
      <c r="C212" s="5" t="s">
        <v>424</v>
      </c>
      <c r="D212" s="9">
        <v>0.039</v>
      </c>
      <c r="E212" s="244"/>
      <c r="F212" s="245"/>
      <c r="G212" s="167"/>
      <c r="H212" s="81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>
        <v>0.039</v>
      </c>
      <c r="T212" s="150">
        <f t="shared" si="73"/>
        <v>0</v>
      </c>
      <c r="U212" s="151"/>
      <c r="V212" s="223"/>
      <c r="W212" s="29"/>
      <c r="X212" s="29"/>
      <c r="Y212" s="29"/>
      <c r="Z212" s="29"/>
      <c r="AA212" s="29">
        <v>0.039</v>
      </c>
      <c r="AB212" s="29">
        <f t="shared" si="77"/>
        <v>0</v>
      </c>
      <c r="AC212" s="30"/>
      <c r="AD212" s="30">
        <f t="shared" si="74"/>
        <v>0.039</v>
      </c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>
        <f t="shared" si="75"/>
        <v>0</v>
      </c>
    </row>
    <row r="213" spans="2:49" ht="12.75">
      <c r="B213" s="26" t="s">
        <v>16</v>
      </c>
      <c r="C213" s="5" t="s">
        <v>15</v>
      </c>
      <c r="D213" s="9"/>
      <c r="E213" s="244"/>
      <c r="F213" s="245"/>
      <c r="G213" s="167">
        <v>0.087</v>
      </c>
      <c r="H213" s="81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50">
        <f t="shared" si="73"/>
        <v>0</v>
      </c>
      <c r="U213" s="151"/>
      <c r="V213" s="223"/>
      <c r="W213" s="29"/>
      <c r="X213" s="29"/>
      <c r="Y213" s="29"/>
      <c r="Z213" s="29"/>
      <c r="AA213" s="29"/>
      <c r="AB213" s="29">
        <f t="shared" si="77"/>
        <v>0</v>
      </c>
      <c r="AC213" s="30"/>
      <c r="AD213" s="30">
        <f t="shared" si="74"/>
        <v>0</v>
      </c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>
        <f t="shared" si="75"/>
        <v>0</v>
      </c>
      <c r="AW213" s="26" t="s">
        <v>677</v>
      </c>
    </row>
    <row r="214" spans="3:48" ht="12.75">
      <c r="C214" s="5" t="s">
        <v>678</v>
      </c>
      <c r="D214" s="9">
        <v>0.5</v>
      </c>
      <c r="E214" s="244"/>
      <c r="F214" s="245"/>
      <c r="G214" s="167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>
        <v>0.5</v>
      </c>
      <c r="T214" s="150"/>
      <c r="U214" s="151"/>
      <c r="V214" s="223"/>
      <c r="W214" s="29"/>
      <c r="X214" s="29"/>
      <c r="Y214" s="29">
        <v>0.25</v>
      </c>
      <c r="Z214" s="29"/>
      <c r="AA214" s="29">
        <v>0.25</v>
      </c>
      <c r="AB214" s="29">
        <f>SUM(AF214:AU214)</f>
        <v>0</v>
      </c>
      <c r="AC214" s="30"/>
      <c r="AD214" s="30">
        <f>SUM(W214:AC214)</f>
        <v>0.5</v>
      </c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>
        <f t="shared" si="75"/>
        <v>0</v>
      </c>
    </row>
    <row r="215" spans="3:48" ht="12.75">
      <c r="C215" s="5" t="s">
        <v>679</v>
      </c>
      <c r="D215" s="9">
        <v>0.06</v>
      </c>
      <c r="E215" s="244"/>
      <c r="F215" s="245"/>
      <c r="G215" s="167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>
        <v>0.06</v>
      </c>
      <c r="T215" s="150"/>
      <c r="U215" s="151"/>
      <c r="V215" s="223"/>
      <c r="W215" s="29"/>
      <c r="X215" s="29"/>
      <c r="Y215" s="29">
        <v>0.06</v>
      </c>
      <c r="Z215" s="29"/>
      <c r="AA215" s="29"/>
      <c r="AB215" s="29">
        <f>SUM(AF215:AU215)</f>
        <v>0</v>
      </c>
      <c r="AC215" s="30"/>
      <c r="AD215" s="30">
        <f>SUM(W215:AC215)</f>
        <v>0.06</v>
      </c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>
        <f t="shared" si="75"/>
        <v>0</v>
      </c>
    </row>
    <row r="216" spans="2:48" ht="12.75">
      <c r="B216" s="26" t="s">
        <v>731</v>
      </c>
      <c r="C216" s="5" t="s">
        <v>628</v>
      </c>
      <c r="D216" s="9">
        <v>0.059</v>
      </c>
      <c r="E216" s="244"/>
      <c r="F216" s="245"/>
      <c r="G216" s="167">
        <v>0.036</v>
      </c>
      <c r="H216" s="12"/>
      <c r="I216" s="12"/>
      <c r="J216" s="12"/>
      <c r="K216" s="12"/>
      <c r="L216" s="12"/>
      <c r="M216" s="12"/>
      <c r="N216" s="12"/>
      <c r="O216" s="12"/>
      <c r="P216" s="12">
        <v>0.059</v>
      </c>
      <c r="Q216" s="12"/>
      <c r="R216" s="12"/>
      <c r="S216" s="12"/>
      <c r="T216" s="150">
        <f t="shared" si="73"/>
        <v>0.059</v>
      </c>
      <c r="U216" s="151"/>
      <c r="V216" s="223"/>
      <c r="W216" s="29"/>
      <c r="X216" s="29"/>
      <c r="Y216" s="29">
        <v>0.059</v>
      </c>
      <c r="Z216" s="29"/>
      <c r="AA216" s="29"/>
      <c r="AB216" s="29">
        <f>SUM(AF216:AU216)</f>
        <v>0</v>
      </c>
      <c r="AC216" s="30"/>
      <c r="AD216" s="30">
        <f>SUM(W216:AC216)</f>
        <v>0.059</v>
      </c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>
        <f t="shared" si="75"/>
        <v>0</v>
      </c>
    </row>
    <row r="217" spans="2:49" ht="13.5" thickBot="1">
      <c r="B217" s="26" t="s">
        <v>468</v>
      </c>
      <c r="C217" s="5" t="s">
        <v>214</v>
      </c>
      <c r="D217" s="9">
        <v>0.15</v>
      </c>
      <c r="E217" s="244"/>
      <c r="F217" s="245"/>
      <c r="G217" s="167">
        <v>0.046</v>
      </c>
      <c r="H217" s="12">
        <f>D217/12</f>
        <v>0.012499999999999999</v>
      </c>
      <c r="I217" s="12">
        <f aca="true" t="shared" si="78" ref="I217:S217">H217</f>
        <v>0.012499999999999999</v>
      </c>
      <c r="J217" s="12">
        <f t="shared" si="78"/>
        <v>0.012499999999999999</v>
      </c>
      <c r="K217" s="12">
        <f t="shared" si="78"/>
        <v>0.012499999999999999</v>
      </c>
      <c r="L217" s="12">
        <f t="shared" si="78"/>
        <v>0.012499999999999999</v>
      </c>
      <c r="M217" s="12">
        <f t="shared" si="78"/>
        <v>0.012499999999999999</v>
      </c>
      <c r="N217" s="12">
        <f t="shared" si="78"/>
        <v>0.012499999999999999</v>
      </c>
      <c r="O217" s="12">
        <f t="shared" si="78"/>
        <v>0.012499999999999999</v>
      </c>
      <c r="P217" s="12">
        <f t="shared" si="78"/>
        <v>0.012499999999999999</v>
      </c>
      <c r="Q217" s="12">
        <f t="shared" si="78"/>
        <v>0.012499999999999999</v>
      </c>
      <c r="R217" s="12">
        <f t="shared" si="78"/>
        <v>0.012499999999999999</v>
      </c>
      <c r="S217" s="12">
        <f t="shared" si="78"/>
        <v>0.012499999999999999</v>
      </c>
      <c r="T217" s="150">
        <f t="shared" si="73"/>
        <v>0.12499999999999999</v>
      </c>
      <c r="U217" s="151"/>
      <c r="V217" s="223"/>
      <c r="W217" s="29"/>
      <c r="X217" s="29"/>
      <c r="Y217" s="29"/>
      <c r="Z217" s="29"/>
      <c r="AA217" s="29"/>
      <c r="AB217" s="29">
        <f t="shared" si="77"/>
        <v>0.15</v>
      </c>
      <c r="AC217" s="30"/>
      <c r="AD217" s="30">
        <f t="shared" si="74"/>
        <v>0.15</v>
      </c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>
        <v>0.15</v>
      </c>
      <c r="AV217" s="30">
        <f t="shared" si="75"/>
        <v>0.15</v>
      </c>
      <c r="AW217" s="26" t="s">
        <v>375</v>
      </c>
    </row>
    <row r="218" spans="3:48" ht="13.5" thickBot="1">
      <c r="C218" s="7" t="s">
        <v>398</v>
      </c>
      <c r="D218" s="18">
        <f>SUM(D206:D217)</f>
        <v>3.1230000000000007</v>
      </c>
      <c r="E218" s="242"/>
      <c r="F218" s="243"/>
      <c r="G218" s="310">
        <f>SUM(G206:G217)</f>
        <v>0.43599999999999994</v>
      </c>
      <c r="H218" s="87">
        <f>SUM(H207:H217)</f>
        <v>0.0495</v>
      </c>
      <c r="I218" s="88">
        <f aca="true" t="shared" si="79" ref="I218:S218">SUM(I207:I217)</f>
        <v>0.0495</v>
      </c>
      <c r="J218" s="88">
        <f t="shared" si="79"/>
        <v>0.0495</v>
      </c>
      <c r="K218" s="88">
        <f t="shared" si="79"/>
        <v>0.0495</v>
      </c>
      <c r="L218" s="88">
        <f t="shared" si="79"/>
        <v>0.0495</v>
      </c>
      <c r="M218" s="88">
        <f t="shared" si="79"/>
        <v>0.0495</v>
      </c>
      <c r="N218" s="88">
        <f t="shared" si="79"/>
        <v>0.0495</v>
      </c>
      <c r="O218" s="88">
        <f t="shared" si="79"/>
        <v>0.0495</v>
      </c>
      <c r="P218" s="88">
        <f t="shared" si="79"/>
        <v>0.1085</v>
      </c>
      <c r="Q218" s="88">
        <f t="shared" si="79"/>
        <v>0.0495</v>
      </c>
      <c r="R218" s="88">
        <f t="shared" si="79"/>
        <v>0.0495</v>
      </c>
      <c r="S218" s="88">
        <f t="shared" si="79"/>
        <v>2.5195000000000003</v>
      </c>
      <c r="T218" s="185">
        <f>SUM(T207:T217)</f>
        <v>0.5539999999999999</v>
      </c>
      <c r="U218" s="151"/>
      <c r="V218" s="223"/>
      <c r="W218" s="160">
        <f aca="true" t="shared" si="80" ref="W218:AC218">SUM(W206:W217)</f>
        <v>0</v>
      </c>
      <c r="X218" s="21">
        <f t="shared" si="80"/>
        <v>0</v>
      </c>
      <c r="Y218" s="21">
        <f t="shared" si="80"/>
        <v>0.8009999999999999</v>
      </c>
      <c r="Z218" s="21">
        <f t="shared" si="80"/>
        <v>0</v>
      </c>
      <c r="AA218" s="21">
        <f t="shared" si="80"/>
        <v>2.172</v>
      </c>
      <c r="AB218" s="21">
        <f t="shared" si="80"/>
        <v>0.15</v>
      </c>
      <c r="AC218" s="21">
        <f t="shared" si="80"/>
        <v>0</v>
      </c>
      <c r="AD218" s="91">
        <f t="shared" si="74"/>
        <v>3.1229999999999998</v>
      </c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181">
        <f>SUM(AU207:AU217)</f>
        <v>0.15</v>
      </c>
      <c r="AV218" s="170">
        <f>SUM(AF218:AU218)</f>
        <v>0.15</v>
      </c>
    </row>
    <row r="219" spans="3:48" ht="12.75">
      <c r="C219" s="7"/>
      <c r="D219" s="7"/>
      <c r="E219" s="248"/>
      <c r="F219" s="249"/>
      <c r="G219" s="167"/>
      <c r="H219" s="8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83"/>
      <c r="U219" s="151"/>
      <c r="V219" s="223"/>
      <c r="W219" s="29"/>
      <c r="X219" s="29"/>
      <c r="Y219" s="29"/>
      <c r="Z219" s="29"/>
      <c r="AA219" s="29"/>
      <c r="AB219" s="29"/>
      <c r="AC219" s="30"/>
      <c r="AD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</row>
    <row r="220" spans="3:48" ht="12.75">
      <c r="C220" s="7" t="s">
        <v>344</v>
      </c>
      <c r="D220" s="7"/>
      <c r="E220" s="248"/>
      <c r="F220" s="249"/>
      <c r="G220" s="167"/>
      <c r="H220" s="81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50"/>
      <c r="U220" s="151"/>
      <c r="V220" s="223"/>
      <c r="W220" s="29"/>
      <c r="X220" s="29"/>
      <c r="Y220" s="29"/>
      <c r="Z220" s="29"/>
      <c r="AA220" s="29"/>
      <c r="AB220" s="29"/>
      <c r="AC220" s="30"/>
      <c r="AD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</row>
    <row r="221" spans="3:48" ht="12.75">
      <c r="C221" s="44" t="s">
        <v>327</v>
      </c>
      <c r="D221" s="166">
        <v>1.267</v>
      </c>
      <c r="E221" s="244"/>
      <c r="F221" s="245"/>
      <c r="G221" s="167">
        <v>0.077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>
        <v>1.267</v>
      </c>
      <c r="T221" s="150">
        <f>SUM(H221:Q221)</f>
        <v>0</v>
      </c>
      <c r="U221" s="151"/>
      <c r="V221" s="223"/>
      <c r="W221" s="29"/>
      <c r="X221" s="29"/>
      <c r="Y221" s="29"/>
      <c r="Z221" s="29"/>
      <c r="AA221" s="29"/>
      <c r="AB221" s="29">
        <f>SUM(AF221:AU221)</f>
        <v>1.2670000000000001</v>
      </c>
      <c r="AC221" s="30"/>
      <c r="AD221" s="30">
        <f aca="true" t="shared" si="81" ref="AD221:AD227">SUM(W221:AC221)</f>
        <v>1.2670000000000001</v>
      </c>
      <c r="AF221" s="30"/>
      <c r="AG221" s="30"/>
      <c r="AH221" s="30"/>
      <c r="AI221" s="30"/>
      <c r="AJ221" s="30"/>
      <c r="AK221" s="30"/>
      <c r="AL221" s="30"/>
      <c r="AM221" s="30"/>
      <c r="AN221" s="30"/>
      <c r="AO221" s="30">
        <v>0.163</v>
      </c>
      <c r="AP221" s="30">
        <v>1.104</v>
      </c>
      <c r="AQ221" s="30"/>
      <c r="AR221" s="30"/>
      <c r="AS221" s="30"/>
      <c r="AT221" s="30"/>
      <c r="AU221" s="30"/>
      <c r="AV221" s="30">
        <f>SUM(AF221:AU221)</f>
        <v>1.2670000000000001</v>
      </c>
    </row>
    <row r="222" spans="2:48" ht="12.75">
      <c r="B222" s="26" t="s">
        <v>240</v>
      </c>
      <c r="C222" s="44" t="s">
        <v>208</v>
      </c>
      <c r="D222" s="166">
        <f>2.757-2.6</f>
        <v>0.15700000000000003</v>
      </c>
      <c r="E222" s="244"/>
      <c r="F222" s="245"/>
      <c r="G222" s="167">
        <v>0.066</v>
      </c>
      <c r="H222" s="12">
        <f>D222/12</f>
        <v>0.013083333333333336</v>
      </c>
      <c r="I222" s="12">
        <f aca="true" t="shared" si="82" ref="I222:S222">H222</f>
        <v>0.013083333333333336</v>
      </c>
      <c r="J222" s="12">
        <f t="shared" si="82"/>
        <v>0.013083333333333336</v>
      </c>
      <c r="K222" s="12">
        <f t="shared" si="82"/>
        <v>0.013083333333333336</v>
      </c>
      <c r="L222" s="12">
        <f t="shared" si="82"/>
        <v>0.013083333333333336</v>
      </c>
      <c r="M222" s="12">
        <f t="shared" si="82"/>
        <v>0.013083333333333336</v>
      </c>
      <c r="N222" s="12">
        <f t="shared" si="82"/>
        <v>0.013083333333333336</v>
      </c>
      <c r="O222" s="12">
        <f t="shared" si="82"/>
        <v>0.013083333333333336</v>
      </c>
      <c r="P222" s="12">
        <f t="shared" si="82"/>
        <v>0.013083333333333336</v>
      </c>
      <c r="Q222" s="12">
        <f t="shared" si="82"/>
        <v>0.013083333333333336</v>
      </c>
      <c r="R222" s="12">
        <f t="shared" si="82"/>
        <v>0.013083333333333336</v>
      </c>
      <c r="S222" s="12">
        <f t="shared" si="82"/>
        <v>0.013083333333333336</v>
      </c>
      <c r="T222" s="150">
        <f aca="true" t="shared" si="83" ref="T222:T237">SUM(H222:Q222)</f>
        <v>0.13083333333333336</v>
      </c>
      <c r="U222" s="151"/>
      <c r="V222" s="223"/>
      <c r="W222" s="29"/>
      <c r="X222" s="29"/>
      <c r="Y222" s="29">
        <f>1.678-1.678</f>
        <v>0</v>
      </c>
      <c r="Z222" s="29"/>
      <c r="AA222" s="29"/>
      <c r="AB222" s="29">
        <f>SUM(AF222:AU222)</f>
        <v>0.15699999999999992</v>
      </c>
      <c r="AC222" s="30"/>
      <c r="AD222" s="30">
        <f>SUM(W222:AC222)</f>
        <v>0.15699999999999992</v>
      </c>
      <c r="AF222" s="30"/>
      <c r="AG222" s="30"/>
      <c r="AH222" s="30"/>
      <c r="AI222" s="30"/>
      <c r="AJ222" s="30"/>
      <c r="AK222" s="30"/>
      <c r="AL222" s="30"/>
      <c r="AM222" s="30"/>
      <c r="AN222" s="30"/>
      <c r="AO222" s="30">
        <f>1.069-0.922</f>
        <v>0.1469999999999999</v>
      </c>
      <c r="AP222" s="30">
        <v>0.01</v>
      </c>
      <c r="AQ222" s="30"/>
      <c r="AR222" s="30"/>
      <c r="AS222" s="30"/>
      <c r="AT222" s="30"/>
      <c r="AU222" s="30"/>
      <c r="AV222" s="30">
        <f>SUM(AF222:AU222)</f>
        <v>0.15699999999999992</v>
      </c>
    </row>
    <row r="223" spans="3:48" ht="12.75">
      <c r="C223" s="44" t="s">
        <v>86</v>
      </c>
      <c r="D223" s="167"/>
      <c r="E223" s="244"/>
      <c r="F223" s="245"/>
      <c r="G223" s="167">
        <v>0.014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50">
        <f t="shared" si="83"/>
        <v>0</v>
      </c>
      <c r="U223" s="151"/>
      <c r="V223" s="223"/>
      <c r="W223" s="29"/>
      <c r="X223" s="29"/>
      <c r="Y223" s="29"/>
      <c r="Z223" s="29"/>
      <c r="AA223" s="29"/>
      <c r="AB223" s="29">
        <f>SUM(AF223:AU223)</f>
        <v>0</v>
      </c>
      <c r="AC223" s="30"/>
      <c r="AD223" s="30">
        <f>SUM(W223:AC223)</f>
        <v>0</v>
      </c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>
        <f aca="true" t="shared" si="84" ref="AV223:AV248">SUM(AF223:AU223)</f>
        <v>0</v>
      </c>
    </row>
    <row r="224" spans="3:49" ht="12.75">
      <c r="C224" s="44" t="s">
        <v>390</v>
      </c>
      <c r="D224" s="167">
        <v>0.05</v>
      </c>
      <c r="E224" s="244"/>
      <c r="F224" s="245"/>
      <c r="G224" s="167">
        <v>0.048</v>
      </c>
      <c r="H224" s="12">
        <f aca="true" t="shared" si="85" ref="H224:H237">D224/12</f>
        <v>0.004166666666666667</v>
      </c>
      <c r="I224" s="12">
        <f aca="true" t="shared" si="86" ref="I224:S224">H224</f>
        <v>0.004166666666666667</v>
      </c>
      <c r="J224" s="12">
        <f t="shared" si="86"/>
        <v>0.004166666666666667</v>
      </c>
      <c r="K224" s="12">
        <f t="shared" si="86"/>
        <v>0.004166666666666667</v>
      </c>
      <c r="L224" s="12">
        <f t="shared" si="86"/>
        <v>0.004166666666666667</v>
      </c>
      <c r="M224" s="12">
        <f t="shared" si="86"/>
        <v>0.004166666666666667</v>
      </c>
      <c r="N224" s="12">
        <f t="shared" si="86"/>
        <v>0.004166666666666667</v>
      </c>
      <c r="O224" s="12">
        <f t="shared" si="86"/>
        <v>0.004166666666666667</v>
      </c>
      <c r="P224" s="12">
        <f t="shared" si="86"/>
        <v>0.004166666666666667</v>
      </c>
      <c r="Q224" s="12">
        <f t="shared" si="86"/>
        <v>0.004166666666666667</v>
      </c>
      <c r="R224" s="12">
        <f t="shared" si="86"/>
        <v>0.004166666666666667</v>
      </c>
      <c r="S224" s="12">
        <f t="shared" si="86"/>
        <v>0.004166666666666667</v>
      </c>
      <c r="T224" s="150">
        <f t="shared" si="83"/>
        <v>0.041666666666666664</v>
      </c>
      <c r="U224" s="151"/>
      <c r="V224" s="223"/>
      <c r="W224" s="29"/>
      <c r="X224" s="29"/>
      <c r="Y224" s="29"/>
      <c r="Z224" s="29"/>
      <c r="AA224" s="29">
        <v>0.05</v>
      </c>
      <c r="AB224" s="29">
        <f aca="true" t="shared" si="87" ref="AB224:AB255">SUM(AF224:AU224)</f>
        <v>0</v>
      </c>
      <c r="AC224" s="30"/>
      <c r="AD224" s="30">
        <f t="shared" si="81"/>
        <v>0.05</v>
      </c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>
        <f t="shared" si="84"/>
        <v>0</v>
      </c>
      <c r="AW224" s="26" t="s">
        <v>574</v>
      </c>
    </row>
    <row r="225" spans="2:48" ht="12.75">
      <c r="B225" s="26" t="s">
        <v>241</v>
      </c>
      <c r="C225" s="44" t="s">
        <v>391</v>
      </c>
      <c r="D225" s="167"/>
      <c r="E225" s="244"/>
      <c r="F225" s="245"/>
      <c r="G225" s="167">
        <v>0.162</v>
      </c>
      <c r="H225" s="12">
        <f t="shared" si="85"/>
        <v>0</v>
      </c>
      <c r="I225" s="12">
        <f aca="true" t="shared" si="88" ref="I225:S225">H225</f>
        <v>0</v>
      </c>
      <c r="J225" s="12">
        <f t="shared" si="88"/>
        <v>0</v>
      </c>
      <c r="K225" s="12">
        <f t="shared" si="88"/>
        <v>0</v>
      </c>
      <c r="L225" s="12">
        <f t="shared" si="88"/>
        <v>0</v>
      </c>
      <c r="M225" s="12">
        <f t="shared" si="88"/>
        <v>0</v>
      </c>
      <c r="N225" s="12">
        <f t="shared" si="88"/>
        <v>0</v>
      </c>
      <c r="O225" s="12">
        <f t="shared" si="88"/>
        <v>0</v>
      </c>
      <c r="P225" s="12">
        <f t="shared" si="88"/>
        <v>0</v>
      </c>
      <c r="Q225" s="12">
        <f t="shared" si="88"/>
        <v>0</v>
      </c>
      <c r="R225" s="12">
        <f t="shared" si="88"/>
        <v>0</v>
      </c>
      <c r="S225" s="12">
        <f t="shared" si="88"/>
        <v>0</v>
      </c>
      <c r="T225" s="150">
        <f t="shared" si="83"/>
        <v>0</v>
      </c>
      <c r="U225" s="151"/>
      <c r="V225" s="223"/>
      <c r="W225" s="29"/>
      <c r="X225" s="29"/>
      <c r="Y225" s="29"/>
      <c r="Z225" s="29"/>
      <c r="AA225" s="29"/>
      <c r="AB225" s="29">
        <f t="shared" si="87"/>
        <v>0</v>
      </c>
      <c r="AC225" s="30"/>
      <c r="AD225" s="30">
        <f t="shared" si="81"/>
        <v>0</v>
      </c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>
        <f t="shared" si="84"/>
        <v>0</v>
      </c>
    </row>
    <row r="226" spans="3:48" ht="12.75">
      <c r="C226" s="44" t="s">
        <v>315</v>
      </c>
      <c r="D226" s="167">
        <v>0.64</v>
      </c>
      <c r="E226" s="244"/>
      <c r="F226" s="245"/>
      <c r="G226" s="167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>
        <f>Q226</f>
        <v>0</v>
      </c>
      <c r="S226" s="12">
        <v>0.64</v>
      </c>
      <c r="T226" s="150">
        <f t="shared" si="83"/>
        <v>0</v>
      </c>
      <c r="U226" s="151"/>
      <c r="V226" s="223"/>
      <c r="W226" s="29"/>
      <c r="X226" s="29"/>
      <c r="Y226" s="29"/>
      <c r="Z226" s="29"/>
      <c r="AA226" s="29"/>
      <c r="AB226" s="29">
        <f t="shared" si="87"/>
        <v>0.64</v>
      </c>
      <c r="AC226" s="30"/>
      <c r="AD226" s="30">
        <f t="shared" si="81"/>
        <v>0.64</v>
      </c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>
        <v>0.61</v>
      </c>
      <c r="AQ226" s="30"/>
      <c r="AR226" s="30"/>
      <c r="AS226" s="30"/>
      <c r="AT226" s="30"/>
      <c r="AU226" s="30">
        <v>0.03</v>
      </c>
      <c r="AV226" s="30">
        <f t="shared" si="84"/>
        <v>0.64</v>
      </c>
    </row>
    <row r="227" spans="3:48" ht="12.75">
      <c r="C227" s="44" t="s">
        <v>221</v>
      </c>
      <c r="D227" s="167">
        <v>0.1</v>
      </c>
      <c r="E227" s="244"/>
      <c r="F227" s="245"/>
      <c r="G227" s="167"/>
      <c r="H227" s="12">
        <f t="shared" si="85"/>
        <v>0.008333333333333333</v>
      </c>
      <c r="I227" s="12">
        <f aca="true" t="shared" si="89" ref="I227:S227">H227</f>
        <v>0.008333333333333333</v>
      </c>
      <c r="J227" s="12">
        <f t="shared" si="89"/>
        <v>0.008333333333333333</v>
      </c>
      <c r="K227" s="12">
        <f t="shared" si="89"/>
        <v>0.008333333333333333</v>
      </c>
      <c r="L227" s="12">
        <f t="shared" si="89"/>
        <v>0.008333333333333333</v>
      </c>
      <c r="M227" s="12">
        <f t="shared" si="89"/>
        <v>0.008333333333333333</v>
      </c>
      <c r="N227" s="12">
        <f t="shared" si="89"/>
        <v>0.008333333333333333</v>
      </c>
      <c r="O227" s="12">
        <f t="shared" si="89"/>
        <v>0.008333333333333333</v>
      </c>
      <c r="P227" s="12">
        <f t="shared" si="89"/>
        <v>0.008333333333333333</v>
      </c>
      <c r="Q227" s="12">
        <f t="shared" si="89"/>
        <v>0.008333333333333333</v>
      </c>
      <c r="R227" s="12">
        <f t="shared" si="89"/>
        <v>0.008333333333333333</v>
      </c>
      <c r="S227" s="12">
        <f t="shared" si="89"/>
        <v>0.008333333333333333</v>
      </c>
      <c r="T227" s="150">
        <f t="shared" si="83"/>
        <v>0.08333333333333333</v>
      </c>
      <c r="U227" s="151"/>
      <c r="V227" s="223"/>
      <c r="W227" s="29"/>
      <c r="X227" s="29"/>
      <c r="Y227" s="29"/>
      <c r="Z227" s="29"/>
      <c r="AA227" s="29"/>
      <c r="AB227" s="29">
        <f t="shared" si="87"/>
        <v>0.05</v>
      </c>
      <c r="AC227" s="30">
        <v>0.05</v>
      </c>
      <c r="AD227" s="30">
        <f t="shared" si="81"/>
        <v>0.1</v>
      </c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>
        <v>0.05</v>
      </c>
      <c r="AQ227" s="30"/>
      <c r="AR227" s="30"/>
      <c r="AS227" s="30"/>
      <c r="AT227" s="30"/>
      <c r="AU227" s="30"/>
      <c r="AV227" s="30">
        <f t="shared" si="84"/>
        <v>0.05</v>
      </c>
    </row>
    <row r="228" spans="3:48" ht="12.75">
      <c r="C228" s="166" t="s">
        <v>78</v>
      </c>
      <c r="D228" s="179"/>
      <c r="E228" s="140"/>
      <c r="F228" s="140"/>
      <c r="G228" s="167"/>
      <c r="H228" s="12">
        <f t="shared" si="85"/>
        <v>0</v>
      </c>
      <c r="I228" s="12">
        <f aca="true" t="shared" si="90" ref="I228:S228">H228</f>
        <v>0</v>
      </c>
      <c r="J228" s="12">
        <f t="shared" si="90"/>
        <v>0</v>
      </c>
      <c r="K228" s="12">
        <f t="shared" si="90"/>
        <v>0</v>
      </c>
      <c r="L228" s="12">
        <f t="shared" si="90"/>
        <v>0</v>
      </c>
      <c r="M228" s="12">
        <f t="shared" si="90"/>
        <v>0</v>
      </c>
      <c r="N228" s="12">
        <f t="shared" si="90"/>
        <v>0</v>
      </c>
      <c r="O228" s="12">
        <f t="shared" si="90"/>
        <v>0</v>
      </c>
      <c r="P228" s="12">
        <f t="shared" si="90"/>
        <v>0</v>
      </c>
      <c r="Q228" s="12">
        <f t="shared" si="90"/>
        <v>0</v>
      </c>
      <c r="R228" s="12">
        <f t="shared" si="90"/>
        <v>0</v>
      </c>
      <c r="S228" s="12">
        <f t="shared" si="90"/>
        <v>0</v>
      </c>
      <c r="T228" s="150">
        <f t="shared" si="83"/>
        <v>0</v>
      </c>
      <c r="U228" s="151"/>
      <c r="V228" s="223"/>
      <c r="W228" s="29"/>
      <c r="X228" s="29"/>
      <c r="Y228" s="29"/>
      <c r="Z228" s="158"/>
      <c r="AA228" s="277"/>
      <c r="AB228" s="276"/>
      <c r="AC228" s="30"/>
      <c r="AD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>
        <f t="shared" si="84"/>
        <v>0</v>
      </c>
    </row>
    <row r="229" spans="3:48" ht="12.75">
      <c r="C229" s="269" t="s">
        <v>79</v>
      </c>
      <c r="D229" s="179">
        <v>0.15</v>
      </c>
      <c r="E229" s="140"/>
      <c r="F229" s="140"/>
      <c r="G229" s="167">
        <v>0.094</v>
      </c>
      <c r="H229" s="12">
        <f t="shared" si="85"/>
        <v>0.012499999999999999</v>
      </c>
      <c r="I229" s="12">
        <f aca="true" t="shared" si="91" ref="I229:S229">H229</f>
        <v>0.012499999999999999</v>
      </c>
      <c r="J229" s="12">
        <f t="shared" si="91"/>
        <v>0.012499999999999999</v>
      </c>
      <c r="K229" s="12">
        <f t="shared" si="91"/>
        <v>0.012499999999999999</v>
      </c>
      <c r="L229" s="12">
        <f t="shared" si="91"/>
        <v>0.012499999999999999</v>
      </c>
      <c r="M229" s="12">
        <f t="shared" si="91"/>
        <v>0.012499999999999999</v>
      </c>
      <c r="N229" s="12">
        <f t="shared" si="91"/>
        <v>0.012499999999999999</v>
      </c>
      <c r="O229" s="12">
        <f t="shared" si="91"/>
        <v>0.012499999999999999</v>
      </c>
      <c r="P229" s="12">
        <f t="shared" si="91"/>
        <v>0.012499999999999999</v>
      </c>
      <c r="Q229" s="12">
        <f t="shared" si="91"/>
        <v>0.012499999999999999</v>
      </c>
      <c r="R229" s="12">
        <f t="shared" si="91"/>
        <v>0.012499999999999999</v>
      </c>
      <c r="S229" s="12">
        <f t="shared" si="91"/>
        <v>0.012499999999999999</v>
      </c>
      <c r="T229" s="150">
        <f t="shared" si="83"/>
        <v>0.12499999999999999</v>
      </c>
      <c r="U229" s="151"/>
      <c r="V229" s="223"/>
      <c r="W229" s="29"/>
      <c r="X229" s="29"/>
      <c r="Y229" s="29"/>
      <c r="Z229" s="29"/>
      <c r="AA229" s="277">
        <v>0.15</v>
      </c>
      <c r="AB229" s="276">
        <f t="shared" si="87"/>
        <v>0</v>
      </c>
      <c r="AC229" s="30"/>
      <c r="AD229" s="30">
        <f aca="true" t="shared" si="92" ref="AD229:AD255">SUM(W229:AC229)</f>
        <v>0.15</v>
      </c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>
        <f t="shared" si="84"/>
        <v>0</v>
      </c>
    </row>
    <row r="230" spans="3:48" ht="12.75">
      <c r="C230" s="269" t="s">
        <v>80</v>
      </c>
      <c r="D230" s="179">
        <v>0.07</v>
      </c>
      <c r="E230" s="140"/>
      <c r="F230" s="140"/>
      <c r="G230" s="167">
        <v>0.012</v>
      </c>
      <c r="H230" s="12">
        <f t="shared" si="85"/>
        <v>0.005833333333333334</v>
      </c>
      <c r="I230" s="12">
        <f aca="true" t="shared" si="93" ref="I230:S230">H230</f>
        <v>0.005833333333333334</v>
      </c>
      <c r="J230" s="12">
        <f t="shared" si="93"/>
        <v>0.005833333333333334</v>
      </c>
      <c r="K230" s="12">
        <f t="shared" si="93"/>
        <v>0.005833333333333334</v>
      </c>
      <c r="L230" s="12">
        <f t="shared" si="93"/>
        <v>0.005833333333333334</v>
      </c>
      <c r="M230" s="12">
        <f t="shared" si="93"/>
        <v>0.005833333333333334</v>
      </c>
      <c r="N230" s="12">
        <f t="shared" si="93"/>
        <v>0.005833333333333334</v>
      </c>
      <c r="O230" s="12">
        <f t="shared" si="93"/>
        <v>0.005833333333333334</v>
      </c>
      <c r="P230" s="12">
        <f t="shared" si="93"/>
        <v>0.005833333333333334</v>
      </c>
      <c r="Q230" s="12">
        <f t="shared" si="93"/>
        <v>0.005833333333333334</v>
      </c>
      <c r="R230" s="12">
        <f t="shared" si="93"/>
        <v>0.005833333333333334</v>
      </c>
      <c r="S230" s="12">
        <f t="shared" si="93"/>
        <v>0.005833333333333334</v>
      </c>
      <c r="T230" s="150">
        <f t="shared" si="83"/>
        <v>0.05833333333333335</v>
      </c>
      <c r="U230" s="151"/>
      <c r="V230" s="223"/>
      <c r="W230" s="29"/>
      <c r="X230" s="29"/>
      <c r="Y230" s="29"/>
      <c r="Z230" s="29"/>
      <c r="AA230" s="277">
        <v>0.07</v>
      </c>
      <c r="AB230" s="276">
        <f t="shared" si="87"/>
        <v>0</v>
      </c>
      <c r="AC230" s="30"/>
      <c r="AD230" s="30">
        <f t="shared" si="92"/>
        <v>0.07</v>
      </c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>
        <f t="shared" si="84"/>
        <v>0</v>
      </c>
    </row>
    <row r="231" spans="3:48" ht="12.75">
      <c r="C231" s="269" t="s">
        <v>81</v>
      </c>
      <c r="D231" s="179">
        <v>0.05</v>
      </c>
      <c r="E231" s="140"/>
      <c r="F231" s="140"/>
      <c r="G231" s="167">
        <v>0.002</v>
      </c>
      <c r="H231" s="12">
        <f t="shared" si="85"/>
        <v>0.004166666666666667</v>
      </c>
      <c r="I231" s="12">
        <f aca="true" t="shared" si="94" ref="I231:S231">H231</f>
        <v>0.004166666666666667</v>
      </c>
      <c r="J231" s="12">
        <f t="shared" si="94"/>
        <v>0.004166666666666667</v>
      </c>
      <c r="K231" s="12">
        <f t="shared" si="94"/>
        <v>0.004166666666666667</v>
      </c>
      <c r="L231" s="12">
        <f t="shared" si="94"/>
        <v>0.004166666666666667</v>
      </c>
      <c r="M231" s="12">
        <f t="shared" si="94"/>
        <v>0.004166666666666667</v>
      </c>
      <c r="N231" s="12">
        <f t="shared" si="94"/>
        <v>0.004166666666666667</v>
      </c>
      <c r="O231" s="12">
        <f t="shared" si="94"/>
        <v>0.004166666666666667</v>
      </c>
      <c r="P231" s="12">
        <f t="shared" si="94"/>
        <v>0.004166666666666667</v>
      </c>
      <c r="Q231" s="12">
        <f t="shared" si="94"/>
        <v>0.004166666666666667</v>
      </c>
      <c r="R231" s="12">
        <f t="shared" si="94"/>
        <v>0.004166666666666667</v>
      </c>
      <c r="S231" s="12">
        <f t="shared" si="94"/>
        <v>0.004166666666666667</v>
      </c>
      <c r="T231" s="150">
        <f t="shared" si="83"/>
        <v>0.041666666666666664</v>
      </c>
      <c r="U231" s="151"/>
      <c r="V231" s="223"/>
      <c r="W231" s="29"/>
      <c r="X231" s="29"/>
      <c r="Y231" s="29"/>
      <c r="Z231" s="29"/>
      <c r="AA231" s="277">
        <v>0.05</v>
      </c>
      <c r="AB231" s="276">
        <f t="shared" si="87"/>
        <v>0</v>
      </c>
      <c r="AC231" s="30"/>
      <c r="AD231" s="30">
        <f t="shared" si="92"/>
        <v>0.05</v>
      </c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>
        <f t="shared" si="84"/>
        <v>0</v>
      </c>
    </row>
    <row r="232" spans="3:49" ht="12.75">
      <c r="C232" s="269" t="s">
        <v>82</v>
      </c>
      <c r="D232" s="179">
        <v>0.061</v>
      </c>
      <c r="E232" s="140"/>
      <c r="F232" s="140"/>
      <c r="G232" s="167"/>
      <c r="H232" s="12">
        <f t="shared" si="85"/>
        <v>0.005083333333333333</v>
      </c>
      <c r="I232" s="12">
        <f aca="true" t="shared" si="95" ref="I232:S232">H232</f>
        <v>0.005083333333333333</v>
      </c>
      <c r="J232" s="12">
        <f t="shared" si="95"/>
        <v>0.005083333333333333</v>
      </c>
      <c r="K232" s="12">
        <f t="shared" si="95"/>
        <v>0.005083333333333333</v>
      </c>
      <c r="L232" s="12">
        <f t="shared" si="95"/>
        <v>0.005083333333333333</v>
      </c>
      <c r="M232" s="12">
        <f t="shared" si="95"/>
        <v>0.005083333333333333</v>
      </c>
      <c r="N232" s="12">
        <f t="shared" si="95"/>
        <v>0.005083333333333333</v>
      </c>
      <c r="O232" s="12">
        <f t="shared" si="95"/>
        <v>0.005083333333333333</v>
      </c>
      <c r="P232" s="12">
        <f t="shared" si="95"/>
        <v>0.005083333333333333</v>
      </c>
      <c r="Q232" s="12">
        <f t="shared" si="95"/>
        <v>0.005083333333333333</v>
      </c>
      <c r="R232" s="12">
        <f t="shared" si="95"/>
        <v>0.005083333333333333</v>
      </c>
      <c r="S232" s="12">
        <f t="shared" si="95"/>
        <v>0.005083333333333333</v>
      </c>
      <c r="T232" s="150">
        <f t="shared" si="83"/>
        <v>0.050833333333333335</v>
      </c>
      <c r="U232" s="151"/>
      <c r="V232" s="223"/>
      <c r="W232" s="29"/>
      <c r="X232" s="29"/>
      <c r="Y232" s="29"/>
      <c r="Z232" s="29"/>
      <c r="AA232" s="277">
        <v>0.05</v>
      </c>
      <c r="AB232" s="276">
        <f t="shared" si="87"/>
        <v>0</v>
      </c>
      <c r="AC232" s="30">
        <v>0.011</v>
      </c>
      <c r="AD232" s="30">
        <f t="shared" si="92"/>
        <v>0.061</v>
      </c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>
        <f t="shared" si="84"/>
        <v>0</v>
      </c>
      <c r="AW232" s="26" t="s">
        <v>614</v>
      </c>
    </row>
    <row r="233" spans="3:48" ht="12.75">
      <c r="C233" s="269" t="s">
        <v>83</v>
      </c>
      <c r="D233" s="179">
        <v>0.218</v>
      </c>
      <c r="E233" s="140"/>
      <c r="F233" s="140"/>
      <c r="G233" s="167"/>
      <c r="H233" s="12">
        <f t="shared" si="85"/>
        <v>0.018166666666666668</v>
      </c>
      <c r="I233" s="12">
        <f aca="true" t="shared" si="96" ref="I233:S233">H233</f>
        <v>0.018166666666666668</v>
      </c>
      <c r="J233" s="12">
        <f t="shared" si="96"/>
        <v>0.018166666666666668</v>
      </c>
      <c r="K233" s="12">
        <f t="shared" si="96"/>
        <v>0.018166666666666668</v>
      </c>
      <c r="L233" s="12">
        <f t="shared" si="96"/>
        <v>0.018166666666666668</v>
      </c>
      <c r="M233" s="12">
        <f t="shared" si="96"/>
        <v>0.018166666666666668</v>
      </c>
      <c r="N233" s="12">
        <f t="shared" si="96"/>
        <v>0.018166666666666668</v>
      </c>
      <c r="O233" s="12">
        <f t="shared" si="96"/>
        <v>0.018166666666666668</v>
      </c>
      <c r="P233" s="12">
        <f t="shared" si="96"/>
        <v>0.018166666666666668</v>
      </c>
      <c r="Q233" s="12">
        <f t="shared" si="96"/>
        <v>0.018166666666666668</v>
      </c>
      <c r="R233" s="12">
        <f t="shared" si="96"/>
        <v>0.018166666666666668</v>
      </c>
      <c r="S233" s="12">
        <f t="shared" si="96"/>
        <v>0.018166666666666668</v>
      </c>
      <c r="T233" s="150">
        <f t="shared" si="83"/>
        <v>0.18166666666666667</v>
      </c>
      <c r="U233" s="151"/>
      <c r="V233" s="223"/>
      <c r="W233" s="29"/>
      <c r="X233" s="29"/>
      <c r="Y233" s="29"/>
      <c r="Z233" s="29"/>
      <c r="AA233" s="277">
        <f>0.18+0.038</f>
        <v>0.218</v>
      </c>
      <c r="AB233" s="276">
        <f t="shared" si="87"/>
        <v>0</v>
      </c>
      <c r="AC233" s="30"/>
      <c r="AD233" s="30">
        <f t="shared" si="92"/>
        <v>0.218</v>
      </c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>
        <f t="shared" si="84"/>
        <v>0</v>
      </c>
    </row>
    <row r="234" spans="2:48" ht="12.75">
      <c r="B234" s="26" t="s">
        <v>647</v>
      </c>
      <c r="C234" s="269" t="s">
        <v>649</v>
      </c>
      <c r="D234" s="179"/>
      <c r="E234" s="140"/>
      <c r="F234" s="140"/>
      <c r="G234" s="167">
        <v>0.01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50">
        <f t="shared" si="83"/>
        <v>0</v>
      </c>
      <c r="U234" s="151"/>
      <c r="V234" s="223"/>
      <c r="W234" s="29"/>
      <c r="X234" s="29"/>
      <c r="Y234" s="29"/>
      <c r="Z234" s="29"/>
      <c r="AA234" s="277"/>
      <c r="AB234" s="276">
        <f>SUM(AF234:AU234)</f>
        <v>0</v>
      </c>
      <c r="AC234" s="30"/>
      <c r="AD234" s="30">
        <f>SUM(W234:AC234)</f>
        <v>0</v>
      </c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>
        <f t="shared" si="84"/>
        <v>0</v>
      </c>
    </row>
    <row r="235" spans="2:48" ht="12.75">
      <c r="B235" s="26" t="s">
        <v>648</v>
      </c>
      <c r="C235" s="269" t="s">
        <v>650</v>
      </c>
      <c r="D235" s="179"/>
      <c r="E235" s="140"/>
      <c r="F235" s="140"/>
      <c r="G235" s="167">
        <v>0.012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50">
        <f t="shared" si="83"/>
        <v>0</v>
      </c>
      <c r="U235" s="151"/>
      <c r="V235" s="223"/>
      <c r="W235" s="29"/>
      <c r="X235" s="29"/>
      <c r="Y235" s="29"/>
      <c r="Z235" s="29"/>
      <c r="AA235" s="277"/>
      <c r="AB235" s="276">
        <f>SUM(AF235:AU235)</f>
        <v>0</v>
      </c>
      <c r="AC235" s="30"/>
      <c r="AD235" s="30">
        <f>SUM(W235:AC235)</f>
        <v>0</v>
      </c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>
        <f t="shared" si="84"/>
        <v>0</v>
      </c>
    </row>
    <row r="236" spans="2:48" ht="12.75">
      <c r="B236" s="26" t="s">
        <v>581</v>
      </c>
      <c r="C236" s="269" t="s">
        <v>111</v>
      </c>
      <c r="D236" s="179">
        <v>0.179</v>
      </c>
      <c r="E236" s="140"/>
      <c r="F236" s="140"/>
      <c r="G236" s="167"/>
      <c r="H236" s="12">
        <f t="shared" si="85"/>
        <v>0.014916666666666667</v>
      </c>
      <c r="I236" s="12">
        <f aca="true" t="shared" si="97" ref="I236:S236">H236</f>
        <v>0.014916666666666667</v>
      </c>
      <c r="J236" s="12">
        <f t="shared" si="97"/>
        <v>0.014916666666666667</v>
      </c>
      <c r="K236" s="12">
        <f t="shared" si="97"/>
        <v>0.014916666666666667</v>
      </c>
      <c r="L236" s="12">
        <f t="shared" si="97"/>
        <v>0.014916666666666667</v>
      </c>
      <c r="M236" s="12">
        <f t="shared" si="97"/>
        <v>0.014916666666666667</v>
      </c>
      <c r="N236" s="12">
        <f t="shared" si="97"/>
        <v>0.014916666666666667</v>
      </c>
      <c r="O236" s="12">
        <f t="shared" si="97"/>
        <v>0.014916666666666667</v>
      </c>
      <c r="P236" s="12">
        <f t="shared" si="97"/>
        <v>0.014916666666666667</v>
      </c>
      <c r="Q236" s="12">
        <f t="shared" si="97"/>
        <v>0.014916666666666667</v>
      </c>
      <c r="R236" s="12">
        <f t="shared" si="97"/>
        <v>0.014916666666666667</v>
      </c>
      <c r="S236" s="12">
        <f t="shared" si="97"/>
        <v>0.014916666666666667</v>
      </c>
      <c r="T236" s="150">
        <f t="shared" si="83"/>
        <v>0.14916666666666664</v>
      </c>
      <c r="U236" s="151"/>
      <c r="V236" s="223"/>
      <c r="W236" s="29"/>
      <c r="X236" s="29"/>
      <c r="Y236" s="29"/>
      <c r="Z236" s="29"/>
      <c r="AA236" s="277">
        <v>0.179</v>
      </c>
      <c r="AB236" s="276">
        <f t="shared" si="87"/>
        <v>0</v>
      </c>
      <c r="AC236" s="30"/>
      <c r="AD236" s="30">
        <f t="shared" si="92"/>
        <v>0.179</v>
      </c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>
        <f t="shared" si="84"/>
        <v>0</v>
      </c>
    </row>
    <row r="237" spans="3:48" ht="12.75">
      <c r="C237" s="44" t="s">
        <v>222</v>
      </c>
      <c r="D237" s="167">
        <v>0.165</v>
      </c>
      <c r="E237" s="244"/>
      <c r="F237" s="245"/>
      <c r="G237" s="167"/>
      <c r="H237" s="12">
        <f t="shared" si="85"/>
        <v>0.01375</v>
      </c>
      <c r="I237" s="12">
        <f aca="true" t="shared" si="98" ref="I237:S237">H237</f>
        <v>0.01375</v>
      </c>
      <c r="J237" s="12">
        <f t="shared" si="98"/>
        <v>0.01375</v>
      </c>
      <c r="K237" s="12">
        <f t="shared" si="98"/>
        <v>0.01375</v>
      </c>
      <c r="L237" s="12">
        <f t="shared" si="98"/>
        <v>0.01375</v>
      </c>
      <c r="M237" s="12">
        <f t="shared" si="98"/>
        <v>0.01375</v>
      </c>
      <c r="N237" s="12">
        <f t="shared" si="98"/>
        <v>0.01375</v>
      </c>
      <c r="O237" s="12">
        <f t="shared" si="98"/>
        <v>0.01375</v>
      </c>
      <c r="P237" s="12">
        <f t="shared" si="98"/>
        <v>0.01375</v>
      </c>
      <c r="Q237" s="12">
        <f t="shared" si="98"/>
        <v>0.01375</v>
      </c>
      <c r="R237" s="12">
        <f t="shared" si="98"/>
        <v>0.01375</v>
      </c>
      <c r="S237" s="12">
        <f t="shared" si="98"/>
        <v>0.01375</v>
      </c>
      <c r="T237" s="150">
        <f t="shared" si="83"/>
        <v>0.1375</v>
      </c>
      <c r="U237" s="151"/>
      <c r="V237" s="223"/>
      <c r="W237" s="29"/>
      <c r="X237" s="29"/>
      <c r="Y237" s="29"/>
      <c r="Z237" s="29"/>
      <c r="AA237" s="29"/>
      <c r="AB237" s="276">
        <f t="shared" si="87"/>
        <v>0.165</v>
      </c>
      <c r="AC237" s="30"/>
      <c r="AD237" s="30">
        <f t="shared" si="92"/>
        <v>0.165</v>
      </c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>
        <v>0.165</v>
      </c>
      <c r="AQ237" s="30"/>
      <c r="AR237" s="30"/>
      <c r="AS237" s="30"/>
      <c r="AT237" s="30"/>
      <c r="AU237" s="30"/>
      <c r="AV237" s="30">
        <f t="shared" si="84"/>
        <v>0.165</v>
      </c>
    </row>
    <row r="238" spans="3:48" ht="12.75" hidden="1">
      <c r="C238" s="5"/>
      <c r="D238" s="9"/>
      <c r="E238" s="244"/>
      <c r="F238" s="245"/>
      <c r="G238" s="167"/>
      <c r="H238" s="81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50">
        <f aca="true" t="shared" si="99" ref="T238:T255">D238/12</f>
        <v>0</v>
      </c>
      <c r="U238" s="151"/>
      <c r="V238" s="223"/>
      <c r="W238" s="29"/>
      <c r="X238" s="29"/>
      <c r="Y238" s="29"/>
      <c r="Z238" s="29"/>
      <c r="AA238" s="29"/>
      <c r="AB238" s="29">
        <f t="shared" si="87"/>
        <v>0</v>
      </c>
      <c r="AC238" s="30"/>
      <c r="AD238" s="30">
        <f t="shared" si="92"/>
        <v>0</v>
      </c>
      <c r="AE238" s="26">
        <f aca="true" t="shared" si="100" ref="AE238:AE255">AD238-D238</f>
        <v>0</v>
      </c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Q238" s="30"/>
      <c r="AR238" s="30"/>
      <c r="AS238" s="30"/>
      <c r="AT238" s="30"/>
      <c r="AU238" s="30"/>
      <c r="AV238" s="30">
        <f t="shared" si="84"/>
        <v>0</v>
      </c>
    </row>
    <row r="239" spans="3:48" ht="12.75" hidden="1">
      <c r="C239" s="5"/>
      <c r="D239" s="9"/>
      <c r="E239" s="244"/>
      <c r="F239" s="245"/>
      <c r="G239" s="167"/>
      <c r="H239" s="81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50">
        <f t="shared" si="99"/>
        <v>0</v>
      </c>
      <c r="U239" s="151"/>
      <c r="V239" s="223"/>
      <c r="W239" s="29"/>
      <c r="X239" s="29"/>
      <c r="Y239" s="29"/>
      <c r="Z239" s="29"/>
      <c r="AA239" s="29"/>
      <c r="AB239" s="29">
        <f t="shared" si="87"/>
        <v>0</v>
      </c>
      <c r="AC239" s="30"/>
      <c r="AD239" s="30">
        <f t="shared" si="92"/>
        <v>0</v>
      </c>
      <c r="AE239" s="26">
        <f t="shared" si="100"/>
        <v>0</v>
      </c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Q239" s="30"/>
      <c r="AR239" s="30"/>
      <c r="AS239" s="30"/>
      <c r="AT239" s="30"/>
      <c r="AU239" s="30"/>
      <c r="AV239" s="30">
        <f t="shared" si="84"/>
        <v>0</v>
      </c>
    </row>
    <row r="240" spans="3:48" ht="12.75" hidden="1">
      <c r="C240" s="5"/>
      <c r="D240" s="9"/>
      <c r="E240" s="244"/>
      <c r="F240" s="245"/>
      <c r="G240" s="167"/>
      <c r="H240" s="81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50">
        <f t="shared" si="99"/>
        <v>0</v>
      </c>
      <c r="U240" s="151"/>
      <c r="V240" s="223"/>
      <c r="W240" s="29"/>
      <c r="X240" s="29"/>
      <c r="Y240" s="29"/>
      <c r="Z240" s="29"/>
      <c r="AA240" s="29"/>
      <c r="AB240" s="29">
        <f t="shared" si="87"/>
        <v>0</v>
      </c>
      <c r="AC240" s="30"/>
      <c r="AD240" s="30">
        <f t="shared" si="92"/>
        <v>0</v>
      </c>
      <c r="AE240" s="26">
        <f t="shared" si="100"/>
        <v>0</v>
      </c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Q240" s="30"/>
      <c r="AR240" s="30"/>
      <c r="AS240" s="30"/>
      <c r="AT240" s="30"/>
      <c r="AU240" s="30"/>
      <c r="AV240" s="30">
        <f t="shared" si="84"/>
        <v>0</v>
      </c>
    </row>
    <row r="241" spans="3:48" ht="12.75" hidden="1">
      <c r="C241" s="5"/>
      <c r="D241" s="9"/>
      <c r="E241" s="244"/>
      <c r="F241" s="245"/>
      <c r="G241" s="167"/>
      <c r="H241" s="81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50">
        <f t="shared" si="99"/>
        <v>0</v>
      </c>
      <c r="U241" s="151"/>
      <c r="V241" s="223"/>
      <c r="W241" s="29"/>
      <c r="X241" s="29"/>
      <c r="Y241" s="29"/>
      <c r="Z241" s="29"/>
      <c r="AA241" s="29"/>
      <c r="AB241" s="29">
        <f t="shared" si="87"/>
        <v>0</v>
      </c>
      <c r="AC241" s="30"/>
      <c r="AD241" s="30">
        <f t="shared" si="92"/>
        <v>0</v>
      </c>
      <c r="AE241" s="26">
        <f t="shared" si="100"/>
        <v>0</v>
      </c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Q241" s="30"/>
      <c r="AR241" s="30"/>
      <c r="AS241" s="30"/>
      <c r="AT241" s="30"/>
      <c r="AU241" s="30"/>
      <c r="AV241" s="30">
        <f t="shared" si="84"/>
        <v>0</v>
      </c>
    </row>
    <row r="242" spans="3:48" ht="12.75" hidden="1">
      <c r="C242" s="5"/>
      <c r="D242" s="9"/>
      <c r="E242" s="244"/>
      <c r="F242" s="245"/>
      <c r="G242" s="167"/>
      <c r="H242" s="81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50">
        <f t="shared" si="99"/>
        <v>0</v>
      </c>
      <c r="U242" s="151"/>
      <c r="V242" s="223"/>
      <c r="W242" s="29"/>
      <c r="X242" s="29"/>
      <c r="Y242" s="29"/>
      <c r="Z242" s="29"/>
      <c r="AA242" s="29"/>
      <c r="AB242" s="29">
        <f t="shared" si="87"/>
        <v>0</v>
      </c>
      <c r="AC242" s="30"/>
      <c r="AD242" s="30">
        <f t="shared" si="92"/>
        <v>0</v>
      </c>
      <c r="AE242" s="26">
        <f t="shared" si="100"/>
        <v>0</v>
      </c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Q242" s="30"/>
      <c r="AS242" s="30"/>
      <c r="AT242" s="30"/>
      <c r="AU242" s="30"/>
      <c r="AV242" s="30">
        <f t="shared" si="84"/>
        <v>0</v>
      </c>
    </row>
    <row r="243" spans="3:48" ht="12.75" hidden="1">
      <c r="C243" s="5"/>
      <c r="D243" s="9"/>
      <c r="E243" s="244"/>
      <c r="F243" s="245"/>
      <c r="G243" s="167"/>
      <c r="H243" s="81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50">
        <f t="shared" si="99"/>
        <v>0</v>
      </c>
      <c r="U243" s="151"/>
      <c r="V243" s="223"/>
      <c r="W243" s="29"/>
      <c r="X243" s="29"/>
      <c r="Y243" s="29"/>
      <c r="Z243" s="29"/>
      <c r="AA243" s="29"/>
      <c r="AB243" s="29">
        <f t="shared" si="87"/>
        <v>0</v>
      </c>
      <c r="AC243" s="30"/>
      <c r="AD243" s="30">
        <f t="shared" si="92"/>
        <v>0</v>
      </c>
      <c r="AE243" s="26">
        <f t="shared" si="100"/>
        <v>0</v>
      </c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Q243" s="30"/>
      <c r="AS243" s="30"/>
      <c r="AT243" s="30"/>
      <c r="AU243" s="30"/>
      <c r="AV243" s="30">
        <f t="shared" si="84"/>
        <v>0</v>
      </c>
    </row>
    <row r="244" spans="3:48" ht="12.75" hidden="1">
      <c r="C244" s="5"/>
      <c r="D244" s="9"/>
      <c r="E244" s="244"/>
      <c r="F244" s="245"/>
      <c r="G244" s="167"/>
      <c r="H244" s="81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50">
        <f t="shared" si="99"/>
        <v>0</v>
      </c>
      <c r="U244" s="151"/>
      <c r="V244" s="223"/>
      <c r="W244" s="29"/>
      <c r="X244" s="29"/>
      <c r="Y244" s="29"/>
      <c r="Z244" s="29"/>
      <c r="AA244" s="29"/>
      <c r="AB244" s="29">
        <f t="shared" si="87"/>
        <v>0</v>
      </c>
      <c r="AC244" s="30"/>
      <c r="AD244" s="30">
        <f t="shared" si="92"/>
        <v>0</v>
      </c>
      <c r="AE244" s="26">
        <f t="shared" si="100"/>
        <v>0</v>
      </c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Q244" s="30"/>
      <c r="AS244" s="30"/>
      <c r="AT244" s="30"/>
      <c r="AU244" s="30"/>
      <c r="AV244" s="30">
        <f t="shared" si="84"/>
        <v>0</v>
      </c>
    </row>
    <row r="245" spans="3:48" ht="12.75" hidden="1">
      <c r="C245" s="5"/>
      <c r="D245" s="9"/>
      <c r="E245" s="244"/>
      <c r="F245" s="245"/>
      <c r="G245" s="167"/>
      <c r="H245" s="81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50">
        <f t="shared" si="99"/>
        <v>0</v>
      </c>
      <c r="U245" s="151"/>
      <c r="V245" s="223"/>
      <c r="W245" s="29"/>
      <c r="X245" s="29"/>
      <c r="Y245" s="29"/>
      <c r="Z245" s="29"/>
      <c r="AA245" s="29"/>
      <c r="AB245" s="29">
        <f t="shared" si="87"/>
        <v>0</v>
      </c>
      <c r="AC245" s="30"/>
      <c r="AD245" s="30">
        <f t="shared" si="92"/>
        <v>0</v>
      </c>
      <c r="AE245" s="26">
        <f t="shared" si="100"/>
        <v>0</v>
      </c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Q245" s="30"/>
      <c r="AR245" s="30"/>
      <c r="AS245" s="30"/>
      <c r="AT245" s="30"/>
      <c r="AU245" s="30"/>
      <c r="AV245" s="30">
        <f t="shared" si="84"/>
        <v>0</v>
      </c>
    </row>
    <row r="246" spans="3:48" ht="12.75" hidden="1">
      <c r="C246" s="5"/>
      <c r="D246" s="9"/>
      <c r="E246" s="244"/>
      <c r="F246" s="245"/>
      <c r="G246" s="167"/>
      <c r="H246" s="81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50">
        <f t="shared" si="99"/>
        <v>0</v>
      </c>
      <c r="U246" s="151"/>
      <c r="V246" s="223"/>
      <c r="W246" s="29"/>
      <c r="Y246" s="29"/>
      <c r="Z246" s="29"/>
      <c r="AA246" s="29"/>
      <c r="AB246" s="29">
        <f t="shared" si="87"/>
        <v>0</v>
      </c>
      <c r="AC246" s="30"/>
      <c r="AD246" s="30">
        <f t="shared" si="92"/>
        <v>0</v>
      </c>
      <c r="AE246" s="26">
        <f t="shared" si="100"/>
        <v>0</v>
      </c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Q246" s="30"/>
      <c r="AR246" s="30"/>
      <c r="AS246" s="30"/>
      <c r="AT246" s="30"/>
      <c r="AU246" s="30"/>
      <c r="AV246" s="30">
        <f t="shared" si="84"/>
        <v>0</v>
      </c>
    </row>
    <row r="247" spans="3:48" ht="12.75" hidden="1">
      <c r="C247" s="5"/>
      <c r="D247" s="9"/>
      <c r="E247" s="244"/>
      <c r="F247" s="245"/>
      <c r="G247" s="167"/>
      <c r="H247" s="81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50">
        <f t="shared" si="99"/>
        <v>0</v>
      </c>
      <c r="U247" s="151"/>
      <c r="V247" s="223"/>
      <c r="W247" s="29"/>
      <c r="X247" s="29"/>
      <c r="Y247" s="29"/>
      <c r="Z247" s="29"/>
      <c r="AA247" s="29"/>
      <c r="AB247" s="29">
        <f t="shared" si="87"/>
        <v>0</v>
      </c>
      <c r="AC247" s="30"/>
      <c r="AD247" s="30">
        <f t="shared" si="92"/>
        <v>0</v>
      </c>
      <c r="AE247" s="26">
        <f t="shared" si="100"/>
        <v>0</v>
      </c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Q247" s="30"/>
      <c r="AR247" s="30"/>
      <c r="AS247" s="30"/>
      <c r="AT247" s="30"/>
      <c r="AU247" s="30"/>
      <c r="AV247" s="30">
        <f t="shared" si="84"/>
        <v>0</v>
      </c>
    </row>
    <row r="248" spans="3:48" ht="12.75" hidden="1">
      <c r="C248" s="5"/>
      <c r="D248" s="9"/>
      <c r="E248" s="244"/>
      <c r="F248" s="245"/>
      <c r="G248" s="166"/>
      <c r="H248" s="81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50">
        <f t="shared" si="99"/>
        <v>0</v>
      </c>
      <c r="U248" s="151"/>
      <c r="V248" s="223"/>
      <c r="W248" s="29"/>
      <c r="X248" s="29"/>
      <c r="Y248" s="29"/>
      <c r="Z248" s="29"/>
      <c r="AA248" s="29"/>
      <c r="AB248" s="29">
        <f t="shared" si="87"/>
        <v>0</v>
      </c>
      <c r="AC248" s="30"/>
      <c r="AD248" s="30">
        <f t="shared" si="92"/>
        <v>0</v>
      </c>
      <c r="AE248" s="26">
        <f t="shared" si="100"/>
        <v>0</v>
      </c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>
        <f t="shared" si="84"/>
        <v>0</v>
      </c>
    </row>
    <row r="249" spans="3:48" ht="12.75" hidden="1">
      <c r="C249" s="5"/>
      <c r="D249" s="9"/>
      <c r="E249" s="244"/>
      <c r="F249" s="245"/>
      <c r="G249" s="167"/>
      <c r="H249" s="81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50">
        <f t="shared" si="99"/>
        <v>0</v>
      </c>
      <c r="U249" s="151"/>
      <c r="V249" s="223"/>
      <c r="W249" s="29"/>
      <c r="X249" s="29"/>
      <c r="Y249" s="29"/>
      <c r="Z249" s="29"/>
      <c r="AA249" s="29"/>
      <c r="AB249" s="29">
        <f t="shared" si="87"/>
        <v>0</v>
      </c>
      <c r="AC249" s="30"/>
      <c r="AD249" s="30">
        <f t="shared" si="92"/>
        <v>0</v>
      </c>
      <c r="AE249" s="26">
        <f t="shared" si="100"/>
        <v>0</v>
      </c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>
        <f aca="true" t="shared" si="101" ref="AV249:AV255">SUM(AF249:AU249)</f>
        <v>0</v>
      </c>
    </row>
    <row r="250" spans="3:48" ht="12.75" hidden="1">
      <c r="C250" s="5"/>
      <c r="D250" s="9"/>
      <c r="E250" s="244"/>
      <c r="F250" s="245"/>
      <c r="G250" s="167"/>
      <c r="H250" s="81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50">
        <f t="shared" si="99"/>
        <v>0</v>
      </c>
      <c r="U250" s="151"/>
      <c r="V250" s="223"/>
      <c r="W250" s="29"/>
      <c r="X250" s="29"/>
      <c r="Y250" s="29"/>
      <c r="Z250" s="29"/>
      <c r="AA250" s="29"/>
      <c r="AB250" s="29">
        <f t="shared" si="87"/>
        <v>0</v>
      </c>
      <c r="AC250" s="30"/>
      <c r="AD250" s="30">
        <f t="shared" si="92"/>
        <v>0</v>
      </c>
      <c r="AE250" s="26">
        <f t="shared" si="100"/>
        <v>0</v>
      </c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>
        <f t="shared" si="101"/>
        <v>0</v>
      </c>
    </row>
    <row r="251" spans="3:48" ht="12.75" hidden="1">
      <c r="C251" s="5"/>
      <c r="D251" s="9"/>
      <c r="E251" s="244"/>
      <c r="F251" s="245"/>
      <c r="G251" s="167"/>
      <c r="H251" s="81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50">
        <f t="shared" si="99"/>
        <v>0</v>
      </c>
      <c r="U251" s="151"/>
      <c r="V251" s="223"/>
      <c r="W251" s="29"/>
      <c r="X251" s="29"/>
      <c r="Y251" s="29"/>
      <c r="Z251" s="29"/>
      <c r="AA251" s="29"/>
      <c r="AB251" s="29">
        <f t="shared" si="87"/>
        <v>0</v>
      </c>
      <c r="AC251" s="30"/>
      <c r="AD251" s="30">
        <f t="shared" si="92"/>
        <v>0</v>
      </c>
      <c r="AE251" s="26">
        <f t="shared" si="100"/>
        <v>0</v>
      </c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>
        <f t="shared" si="101"/>
        <v>0</v>
      </c>
    </row>
    <row r="252" spans="3:48" ht="12.75" hidden="1">
      <c r="C252" s="5"/>
      <c r="D252" s="9"/>
      <c r="E252" s="244"/>
      <c r="F252" s="245"/>
      <c r="G252" s="167"/>
      <c r="H252" s="81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50">
        <f t="shared" si="99"/>
        <v>0</v>
      </c>
      <c r="U252" s="151"/>
      <c r="V252" s="223"/>
      <c r="W252" s="29"/>
      <c r="X252" s="29"/>
      <c r="Y252" s="29"/>
      <c r="Z252" s="29"/>
      <c r="AA252" s="29"/>
      <c r="AB252" s="29">
        <f t="shared" si="87"/>
        <v>0</v>
      </c>
      <c r="AC252" s="30"/>
      <c r="AD252" s="30">
        <f t="shared" si="92"/>
        <v>0</v>
      </c>
      <c r="AE252" s="26">
        <f t="shared" si="100"/>
        <v>0</v>
      </c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>
        <f t="shared" si="101"/>
        <v>0</v>
      </c>
    </row>
    <row r="253" spans="3:48" ht="12.75" hidden="1">
      <c r="C253" s="5"/>
      <c r="D253" s="9"/>
      <c r="E253" s="244"/>
      <c r="F253" s="245"/>
      <c r="G253" s="167"/>
      <c r="H253" s="81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50">
        <f t="shared" si="99"/>
        <v>0</v>
      </c>
      <c r="U253" s="151"/>
      <c r="V253" s="223"/>
      <c r="W253" s="29"/>
      <c r="X253" s="29"/>
      <c r="Y253" s="29"/>
      <c r="Z253" s="29"/>
      <c r="AA253" s="29"/>
      <c r="AB253" s="29">
        <f t="shared" si="87"/>
        <v>0</v>
      </c>
      <c r="AC253" s="30"/>
      <c r="AD253" s="30">
        <f t="shared" si="92"/>
        <v>0</v>
      </c>
      <c r="AE253" s="26">
        <f t="shared" si="100"/>
        <v>0</v>
      </c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>
        <f t="shared" si="101"/>
        <v>0</v>
      </c>
    </row>
    <row r="254" spans="3:48" ht="12.75" hidden="1">
      <c r="C254" s="5"/>
      <c r="D254" s="9"/>
      <c r="E254" s="244"/>
      <c r="F254" s="245"/>
      <c r="G254" s="167"/>
      <c r="H254" s="81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50">
        <f t="shared" si="99"/>
        <v>0</v>
      </c>
      <c r="U254" s="151"/>
      <c r="V254" s="223"/>
      <c r="W254" s="29"/>
      <c r="X254" s="29"/>
      <c r="Y254" s="29"/>
      <c r="Z254" s="29"/>
      <c r="AA254" s="29"/>
      <c r="AB254" s="29">
        <f t="shared" si="87"/>
        <v>0</v>
      </c>
      <c r="AC254" s="30"/>
      <c r="AD254" s="30">
        <f t="shared" si="92"/>
        <v>0</v>
      </c>
      <c r="AE254" s="26">
        <f t="shared" si="100"/>
        <v>0</v>
      </c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>
        <f t="shared" si="101"/>
        <v>0</v>
      </c>
    </row>
    <row r="255" spans="3:48" ht="12.75" hidden="1">
      <c r="C255" s="5"/>
      <c r="D255" s="9"/>
      <c r="E255" s="244"/>
      <c r="F255" s="245"/>
      <c r="G255" s="167"/>
      <c r="H255" s="81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50">
        <f t="shared" si="99"/>
        <v>0</v>
      </c>
      <c r="U255" s="151"/>
      <c r="V255" s="223"/>
      <c r="W255" s="29"/>
      <c r="X255" s="29"/>
      <c r="Y255" s="29"/>
      <c r="Z255" s="29"/>
      <c r="AA255" s="29"/>
      <c r="AB255" s="29">
        <f t="shared" si="87"/>
        <v>0</v>
      </c>
      <c r="AC255" s="30"/>
      <c r="AD255" s="30">
        <f t="shared" si="92"/>
        <v>0</v>
      </c>
      <c r="AE255" s="26">
        <f t="shared" si="100"/>
        <v>0</v>
      </c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>
        <f t="shared" si="101"/>
        <v>0</v>
      </c>
    </row>
    <row r="256" spans="3:48" ht="13.5" thickBot="1">
      <c r="C256" s="5"/>
      <c r="D256" s="9"/>
      <c r="E256" s="244"/>
      <c r="F256" s="245"/>
      <c r="G256" s="167"/>
      <c r="H256" s="81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84"/>
      <c r="U256" s="151"/>
      <c r="V256" s="223"/>
      <c r="W256" s="29"/>
      <c r="X256" s="29"/>
      <c r="Y256" s="29"/>
      <c r="Z256" s="29"/>
      <c r="AA256" s="29"/>
      <c r="AB256" s="29"/>
      <c r="AC256" s="30"/>
      <c r="AD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</row>
    <row r="257" spans="3:48" ht="13.5" thickBot="1">
      <c r="C257" s="7" t="s">
        <v>345</v>
      </c>
      <c r="D257" s="18">
        <f>SUM(D221:D256)</f>
        <v>3.1069999999999993</v>
      </c>
      <c r="E257" s="242"/>
      <c r="F257" s="243"/>
      <c r="G257" s="310">
        <f>SUM(G221:G256)</f>
        <v>0.497</v>
      </c>
      <c r="H257" s="154">
        <f aca="true" t="shared" si="102" ref="H257:R257">SUM(H221:H256)</f>
        <v>0.09999999999999999</v>
      </c>
      <c r="I257" s="155">
        <f t="shared" si="102"/>
        <v>0.09999999999999999</v>
      </c>
      <c r="J257" s="155">
        <f t="shared" si="102"/>
        <v>0.09999999999999999</v>
      </c>
      <c r="K257" s="155">
        <f t="shared" si="102"/>
        <v>0.09999999999999999</v>
      </c>
      <c r="L257" s="155">
        <f t="shared" si="102"/>
        <v>0.09999999999999999</v>
      </c>
      <c r="M257" s="155">
        <f t="shared" si="102"/>
        <v>0.09999999999999999</v>
      </c>
      <c r="N257" s="155">
        <f t="shared" si="102"/>
        <v>0.09999999999999999</v>
      </c>
      <c r="O257" s="155">
        <f t="shared" si="102"/>
        <v>0.09999999999999999</v>
      </c>
      <c r="P257" s="155">
        <f t="shared" si="102"/>
        <v>0.09999999999999999</v>
      </c>
      <c r="Q257" s="155">
        <f t="shared" si="102"/>
        <v>0.09999999999999999</v>
      </c>
      <c r="R257" s="155">
        <f t="shared" si="102"/>
        <v>0.09999999999999999</v>
      </c>
      <c r="S257" s="155">
        <f>SUM(S221:S256)</f>
        <v>2.0069999999999997</v>
      </c>
      <c r="T257" s="185">
        <f>SUM(T221:T237)</f>
        <v>1</v>
      </c>
      <c r="U257" s="151"/>
      <c r="V257" s="223"/>
      <c r="W257" s="23">
        <f aca="true" t="shared" si="103" ref="W257:AD257">SUM(W221:W256)</f>
        <v>0</v>
      </c>
      <c r="X257" s="23">
        <f t="shared" si="103"/>
        <v>0</v>
      </c>
      <c r="Y257" s="23">
        <f t="shared" si="103"/>
        <v>0</v>
      </c>
      <c r="Z257" s="23">
        <f t="shared" si="103"/>
        <v>0</v>
      </c>
      <c r="AA257" s="23">
        <f t="shared" si="103"/>
        <v>0.7669999999999999</v>
      </c>
      <c r="AB257" s="23">
        <f t="shared" si="103"/>
        <v>2.279</v>
      </c>
      <c r="AC257" s="23">
        <f t="shared" si="103"/>
        <v>0.061</v>
      </c>
      <c r="AD257" s="23">
        <f t="shared" si="103"/>
        <v>3.1069999999999993</v>
      </c>
      <c r="AF257" s="23">
        <f aca="true" t="shared" si="104" ref="AF257:AV257">SUM(AF221:AF256)</f>
        <v>0</v>
      </c>
      <c r="AG257" s="23">
        <f t="shared" si="104"/>
        <v>0</v>
      </c>
      <c r="AH257" s="23">
        <f t="shared" si="104"/>
        <v>0</v>
      </c>
      <c r="AI257" s="23">
        <f t="shared" si="104"/>
        <v>0</v>
      </c>
      <c r="AJ257" s="23">
        <f t="shared" si="104"/>
        <v>0</v>
      </c>
      <c r="AK257" s="23">
        <f t="shared" si="104"/>
        <v>0</v>
      </c>
      <c r="AL257" s="23">
        <f t="shared" si="104"/>
        <v>0</v>
      </c>
      <c r="AM257" s="23">
        <f t="shared" si="104"/>
        <v>0</v>
      </c>
      <c r="AN257" s="23">
        <f t="shared" si="104"/>
        <v>0</v>
      </c>
      <c r="AO257" s="23">
        <f t="shared" si="104"/>
        <v>0.30999999999999994</v>
      </c>
      <c r="AP257" s="23">
        <f t="shared" si="104"/>
        <v>1.9390000000000003</v>
      </c>
      <c r="AQ257" s="23">
        <f t="shared" si="104"/>
        <v>0</v>
      </c>
      <c r="AR257" s="23">
        <f t="shared" si="104"/>
        <v>0</v>
      </c>
      <c r="AS257" s="23">
        <f t="shared" si="104"/>
        <v>0</v>
      </c>
      <c r="AT257" s="23">
        <f t="shared" si="104"/>
        <v>0</v>
      </c>
      <c r="AU257" s="23">
        <f t="shared" si="104"/>
        <v>0.03</v>
      </c>
      <c r="AV257" s="23">
        <f t="shared" si="104"/>
        <v>2.279</v>
      </c>
    </row>
    <row r="258" spans="3:48" ht="12.75">
      <c r="C258" s="5"/>
      <c r="D258" s="5"/>
      <c r="E258" s="235"/>
      <c r="F258" s="237"/>
      <c r="G258" s="167"/>
      <c r="H258" s="81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50"/>
      <c r="U258" s="151"/>
      <c r="V258" s="223"/>
      <c r="W258" s="29"/>
      <c r="X258" s="29"/>
      <c r="Y258" s="29"/>
      <c r="Z258" s="29"/>
      <c r="AA258" s="29"/>
      <c r="AB258" s="29"/>
      <c r="AC258" s="30"/>
      <c r="AD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</row>
    <row r="259" spans="2:48" ht="12.75">
      <c r="B259" s="26" t="s">
        <v>184</v>
      </c>
      <c r="C259" s="7" t="s">
        <v>399</v>
      </c>
      <c r="D259" s="5"/>
      <c r="E259" s="235"/>
      <c r="F259" s="237"/>
      <c r="G259" s="167"/>
      <c r="H259" s="81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50"/>
      <c r="U259" s="151"/>
      <c r="V259" s="223"/>
      <c r="W259" s="29"/>
      <c r="X259" s="29"/>
      <c r="Y259" s="29"/>
      <c r="Z259" s="29"/>
      <c r="AA259" s="29"/>
      <c r="AB259" s="29"/>
      <c r="AC259" s="30"/>
      <c r="AD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</row>
    <row r="260" spans="2:48" ht="12.75">
      <c r="B260" s="26" t="s">
        <v>580</v>
      </c>
      <c r="C260" s="44" t="s">
        <v>223</v>
      </c>
      <c r="D260" s="166">
        <f>0.705-0.64</f>
        <v>0.06499999999999995</v>
      </c>
      <c r="E260" s="244"/>
      <c r="F260" s="245"/>
      <c r="G260" s="167">
        <v>0.062</v>
      </c>
      <c r="H260" s="12">
        <f>D260/12</f>
        <v>0.0054166666666666625</v>
      </c>
      <c r="I260" s="12">
        <f aca="true" t="shared" si="105" ref="I260:S260">H260</f>
        <v>0.0054166666666666625</v>
      </c>
      <c r="J260" s="12">
        <f t="shared" si="105"/>
        <v>0.0054166666666666625</v>
      </c>
      <c r="K260" s="12">
        <f t="shared" si="105"/>
        <v>0.0054166666666666625</v>
      </c>
      <c r="L260" s="12">
        <f t="shared" si="105"/>
        <v>0.0054166666666666625</v>
      </c>
      <c r="M260" s="12">
        <f t="shared" si="105"/>
        <v>0.0054166666666666625</v>
      </c>
      <c r="N260" s="12">
        <f t="shared" si="105"/>
        <v>0.0054166666666666625</v>
      </c>
      <c r="O260" s="12">
        <f t="shared" si="105"/>
        <v>0.0054166666666666625</v>
      </c>
      <c r="P260" s="12">
        <f t="shared" si="105"/>
        <v>0.0054166666666666625</v>
      </c>
      <c r="Q260" s="12">
        <f t="shared" si="105"/>
        <v>0.0054166666666666625</v>
      </c>
      <c r="R260" s="12">
        <f t="shared" si="105"/>
        <v>0.0054166666666666625</v>
      </c>
      <c r="S260" s="12">
        <f t="shared" si="105"/>
        <v>0.0054166666666666625</v>
      </c>
      <c r="T260" s="150">
        <f>SUM(H260:Q260)</f>
        <v>0.05416666666666661</v>
      </c>
      <c r="U260" s="151"/>
      <c r="V260" s="223"/>
      <c r="W260" s="29"/>
      <c r="X260" s="29"/>
      <c r="Y260" s="29">
        <f>0.667-0.64</f>
        <v>0.027000000000000024</v>
      </c>
      <c r="Z260" s="29"/>
      <c r="AA260" s="29">
        <v>0.038</v>
      </c>
      <c r="AB260" s="29">
        <f aca="true" t="shared" si="106" ref="AB260:AB338">SUM(AF260:AU260)</f>
        <v>0</v>
      </c>
      <c r="AC260" s="30"/>
      <c r="AD260" s="30">
        <f aca="true" t="shared" si="107" ref="AD260:AD307">SUM(W260:AC260)</f>
        <v>0.06500000000000003</v>
      </c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>
        <f aca="true" t="shared" si="108" ref="AV260:AV279">SUM(AF260:AU260)</f>
        <v>0</v>
      </c>
    </row>
    <row r="261" spans="2:49" ht="12.75">
      <c r="B261" s="26" t="s">
        <v>640</v>
      </c>
      <c r="C261" s="44" t="s">
        <v>401</v>
      </c>
      <c r="D261" s="167">
        <f>0.244-0.12</f>
        <v>0.124</v>
      </c>
      <c r="E261" s="244"/>
      <c r="F261" s="245"/>
      <c r="G261" s="167">
        <v>0.017</v>
      </c>
      <c r="H261" s="12">
        <f>D261/12</f>
        <v>0.010333333333333333</v>
      </c>
      <c r="I261" s="12">
        <f aca="true" t="shared" si="109" ref="I261:S261">H261</f>
        <v>0.010333333333333333</v>
      </c>
      <c r="J261" s="12">
        <f t="shared" si="109"/>
        <v>0.010333333333333333</v>
      </c>
      <c r="K261" s="12">
        <f t="shared" si="109"/>
        <v>0.010333333333333333</v>
      </c>
      <c r="L261" s="12">
        <f t="shared" si="109"/>
        <v>0.010333333333333333</v>
      </c>
      <c r="M261" s="12">
        <f t="shared" si="109"/>
        <v>0.010333333333333333</v>
      </c>
      <c r="N261" s="12">
        <f t="shared" si="109"/>
        <v>0.010333333333333333</v>
      </c>
      <c r="O261" s="12">
        <f t="shared" si="109"/>
        <v>0.010333333333333333</v>
      </c>
      <c r="P261" s="12">
        <f t="shared" si="109"/>
        <v>0.010333333333333333</v>
      </c>
      <c r="Q261" s="12">
        <f t="shared" si="109"/>
        <v>0.010333333333333333</v>
      </c>
      <c r="R261" s="12">
        <f t="shared" si="109"/>
        <v>0.010333333333333333</v>
      </c>
      <c r="S261" s="12">
        <f t="shared" si="109"/>
        <v>0.010333333333333333</v>
      </c>
      <c r="T261" s="150">
        <f aca="true" t="shared" si="110" ref="T261:T279">SUM(H261:Q261)</f>
        <v>0.10333333333333333</v>
      </c>
      <c r="U261" s="151"/>
      <c r="V261" s="223"/>
      <c r="W261" s="29"/>
      <c r="X261" s="29"/>
      <c r="Y261" s="29"/>
      <c r="Z261" s="29"/>
      <c r="AA261" s="29">
        <f>0.08-0.08</f>
        <v>0</v>
      </c>
      <c r="AB261" s="276">
        <f>SUM(AF261:AU261)</f>
        <v>0.124</v>
      </c>
      <c r="AC261" s="30"/>
      <c r="AD261" s="30">
        <f>SUM(W261:AC261)</f>
        <v>0.124</v>
      </c>
      <c r="AF261" s="30"/>
      <c r="AG261" s="30"/>
      <c r="AH261" s="30"/>
      <c r="AI261" s="30"/>
      <c r="AJ261" s="30"/>
      <c r="AK261" s="30"/>
      <c r="AL261" s="30"/>
      <c r="AM261" s="30"/>
      <c r="AN261" s="30">
        <f>0.064-0.04</f>
        <v>0.024</v>
      </c>
      <c r="AO261" s="30"/>
      <c r="AP261" s="30"/>
      <c r="AQ261" s="30"/>
      <c r="AR261" s="30"/>
      <c r="AS261" s="30"/>
      <c r="AT261" s="30"/>
      <c r="AU261" s="30">
        <v>0.1</v>
      </c>
      <c r="AV261" s="30">
        <f>SUM(AF261:AU261)</f>
        <v>0.124</v>
      </c>
      <c r="AW261" s="26" t="s">
        <v>549</v>
      </c>
    </row>
    <row r="262" spans="2:49" ht="12.75">
      <c r="B262" s="26" t="s">
        <v>702</v>
      </c>
      <c r="C262" s="44" t="s">
        <v>522</v>
      </c>
      <c r="D262" s="166">
        <v>2.7</v>
      </c>
      <c r="E262" s="140"/>
      <c r="F262" s="140"/>
      <c r="G262" s="167">
        <v>0.021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>
        <v>2.7</v>
      </c>
      <c r="T262" s="150">
        <f t="shared" si="110"/>
        <v>0</v>
      </c>
      <c r="U262" s="151"/>
      <c r="V262" s="223">
        <v>38537</v>
      </c>
      <c r="W262" s="29"/>
      <c r="X262" s="29"/>
      <c r="Y262" s="29"/>
      <c r="Z262" s="29"/>
      <c r="AA262" s="29">
        <v>2.7</v>
      </c>
      <c r="AB262" s="29">
        <f t="shared" si="106"/>
        <v>0</v>
      </c>
      <c r="AC262" s="30"/>
      <c r="AD262" s="30">
        <f t="shared" si="107"/>
        <v>2.7</v>
      </c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26" t="s">
        <v>506</v>
      </c>
    </row>
    <row r="263" spans="2:48" ht="12.75">
      <c r="B263" s="26" t="s">
        <v>702</v>
      </c>
      <c r="C263" s="44" t="s">
        <v>700</v>
      </c>
      <c r="D263" s="166">
        <v>0.387</v>
      </c>
      <c r="E263" s="140"/>
      <c r="F263" s="140"/>
      <c r="G263" s="167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>
        <v>0.387</v>
      </c>
      <c r="T263" s="150"/>
      <c r="U263" s="151"/>
      <c r="V263" s="223"/>
      <c r="W263" s="29"/>
      <c r="X263" s="29"/>
      <c r="Y263" s="29"/>
      <c r="Z263" s="29"/>
      <c r="AA263" s="29">
        <v>0.387</v>
      </c>
      <c r="AB263" s="29">
        <f>SUM(AF263:AU263)</f>
        <v>0</v>
      </c>
      <c r="AC263" s="30"/>
      <c r="AD263" s="30">
        <f>SUM(W263:AC263)</f>
        <v>0.387</v>
      </c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</row>
    <row r="264" spans="2:48" ht="12.75">
      <c r="B264" s="26" t="s">
        <v>702</v>
      </c>
      <c r="C264" s="44" t="s">
        <v>701</v>
      </c>
      <c r="D264" s="166">
        <v>0.155</v>
      </c>
      <c r="E264" s="140"/>
      <c r="F264" s="140"/>
      <c r="G264" s="167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>
        <v>0.155</v>
      </c>
      <c r="T264" s="150"/>
      <c r="U264" s="151"/>
      <c r="V264" s="223"/>
      <c r="W264" s="29"/>
      <c r="X264" s="29"/>
      <c r="Y264" s="29"/>
      <c r="Z264" s="29"/>
      <c r="AA264" s="29">
        <v>0.155</v>
      </c>
      <c r="AB264" s="29">
        <f>SUM(AF264:AU264)</f>
        <v>0</v>
      </c>
      <c r="AC264" s="30"/>
      <c r="AD264" s="30">
        <f>SUM(W264:AC264)</f>
        <v>0.155</v>
      </c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</row>
    <row r="265" spans="3:48" ht="12.75">
      <c r="C265" s="44" t="s">
        <v>523</v>
      </c>
      <c r="D265" s="166">
        <v>0.3</v>
      </c>
      <c r="E265" s="140"/>
      <c r="F265" s="140"/>
      <c r="G265" s="167"/>
      <c r="H265" s="12">
        <f>D265/12</f>
        <v>0.024999999999999998</v>
      </c>
      <c r="I265" s="12">
        <f aca="true" t="shared" si="111" ref="I265:S265">H265</f>
        <v>0.024999999999999998</v>
      </c>
      <c r="J265" s="12">
        <f t="shared" si="111"/>
        <v>0.024999999999999998</v>
      </c>
      <c r="K265" s="12">
        <f t="shared" si="111"/>
        <v>0.024999999999999998</v>
      </c>
      <c r="L265" s="12">
        <f t="shared" si="111"/>
        <v>0.024999999999999998</v>
      </c>
      <c r="M265" s="12">
        <f t="shared" si="111"/>
        <v>0.024999999999999998</v>
      </c>
      <c r="N265" s="12">
        <f t="shared" si="111"/>
        <v>0.024999999999999998</v>
      </c>
      <c r="O265" s="12">
        <f t="shared" si="111"/>
        <v>0.024999999999999998</v>
      </c>
      <c r="P265" s="12">
        <f t="shared" si="111"/>
        <v>0.024999999999999998</v>
      </c>
      <c r="Q265" s="12">
        <f t="shared" si="111"/>
        <v>0.024999999999999998</v>
      </c>
      <c r="R265" s="12">
        <f t="shared" si="111"/>
        <v>0.024999999999999998</v>
      </c>
      <c r="S265" s="12">
        <f t="shared" si="111"/>
        <v>0.024999999999999998</v>
      </c>
      <c r="T265" s="150">
        <f t="shared" si="110"/>
        <v>0.24999999999999997</v>
      </c>
      <c r="U265" s="151"/>
      <c r="V265" s="223"/>
      <c r="W265" s="29"/>
      <c r="X265" s="29"/>
      <c r="Y265" s="29"/>
      <c r="Z265" s="29"/>
      <c r="AA265" s="29">
        <v>0.3</v>
      </c>
      <c r="AB265" s="29">
        <f t="shared" si="106"/>
        <v>0</v>
      </c>
      <c r="AC265" s="30"/>
      <c r="AD265" s="30">
        <f t="shared" si="107"/>
        <v>0.3</v>
      </c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</row>
    <row r="266" spans="3:48" ht="12.75">
      <c r="C266" s="44" t="s">
        <v>672</v>
      </c>
      <c r="D266" s="166">
        <v>0.36</v>
      </c>
      <c r="E266" s="140"/>
      <c r="F266" s="140"/>
      <c r="G266" s="167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>
        <v>0.36</v>
      </c>
      <c r="T266" s="150">
        <f t="shared" si="110"/>
        <v>0</v>
      </c>
      <c r="U266" s="151"/>
      <c r="V266" s="223"/>
      <c r="W266" s="29"/>
      <c r="X266" s="29"/>
      <c r="Y266" s="29"/>
      <c r="Z266" s="29"/>
      <c r="AA266" s="29">
        <v>0.36</v>
      </c>
      <c r="AB266" s="29">
        <f>SUM(AF266:AU266)</f>
        <v>0</v>
      </c>
      <c r="AC266" s="30"/>
      <c r="AD266" s="30">
        <f>SUM(W266:AC266)</f>
        <v>0.36</v>
      </c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>
        <f t="shared" si="108"/>
        <v>0</v>
      </c>
    </row>
    <row r="267" spans="2:48" ht="12.75">
      <c r="B267" s="20" t="s">
        <v>579</v>
      </c>
      <c r="C267" s="44" t="s">
        <v>226</v>
      </c>
      <c r="D267" s="166">
        <v>0.58</v>
      </c>
      <c r="E267" s="238"/>
      <c r="F267" s="238"/>
      <c r="G267" s="166">
        <v>0.573</v>
      </c>
      <c r="H267" s="81"/>
      <c r="I267" s="12"/>
      <c r="J267" s="12">
        <v>0.074</v>
      </c>
      <c r="K267" s="12">
        <v>0.074</v>
      </c>
      <c r="L267" s="12">
        <v>0.075</v>
      </c>
      <c r="M267" s="12">
        <v>0.113</v>
      </c>
      <c r="N267" s="12">
        <v>0.113</v>
      </c>
      <c r="O267" s="12">
        <v>0.113</v>
      </c>
      <c r="P267" s="12"/>
      <c r="Q267" s="12"/>
      <c r="R267" s="12"/>
      <c r="S267" s="12">
        <v>0.018</v>
      </c>
      <c r="T267" s="150">
        <f t="shared" si="110"/>
        <v>0.5619999999999999</v>
      </c>
      <c r="U267" s="151"/>
      <c r="V267" s="223">
        <v>38460</v>
      </c>
      <c r="W267" s="29"/>
      <c r="X267" s="29"/>
      <c r="Y267" s="29"/>
      <c r="Z267" s="29"/>
      <c r="AA267" s="29">
        <f>0.25+0.095</f>
        <v>0.345</v>
      </c>
      <c r="AB267" s="29">
        <f t="shared" si="106"/>
        <v>0</v>
      </c>
      <c r="AC267" s="30">
        <v>0.235</v>
      </c>
      <c r="AD267" s="30">
        <f t="shared" si="107"/>
        <v>0.58</v>
      </c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>
        <f t="shared" si="108"/>
        <v>0</v>
      </c>
    </row>
    <row r="268" spans="2:48" ht="12.75">
      <c r="B268" s="162" t="s">
        <v>608</v>
      </c>
      <c r="C268" s="44" t="s">
        <v>227</v>
      </c>
      <c r="D268" s="166">
        <v>0.04</v>
      </c>
      <c r="E268" s="238"/>
      <c r="F268" s="238"/>
      <c r="G268" s="166">
        <v>0.012</v>
      </c>
      <c r="H268" s="12">
        <f>D268/12</f>
        <v>0.0033333333333333335</v>
      </c>
      <c r="I268" s="12">
        <f aca="true" t="shared" si="112" ref="I268:S268">H268</f>
        <v>0.0033333333333333335</v>
      </c>
      <c r="J268" s="12">
        <f t="shared" si="112"/>
        <v>0.0033333333333333335</v>
      </c>
      <c r="K268" s="12">
        <f t="shared" si="112"/>
        <v>0.0033333333333333335</v>
      </c>
      <c r="L268" s="12">
        <f t="shared" si="112"/>
        <v>0.0033333333333333335</v>
      </c>
      <c r="M268" s="12">
        <f t="shared" si="112"/>
        <v>0.0033333333333333335</v>
      </c>
      <c r="N268" s="12">
        <f t="shared" si="112"/>
        <v>0.0033333333333333335</v>
      </c>
      <c r="O268" s="12">
        <f t="shared" si="112"/>
        <v>0.0033333333333333335</v>
      </c>
      <c r="P268" s="12">
        <f t="shared" si="112"/>
        <v>0.0033333333333333335</v>
      </c>
      <c r="Q268" s="12">
        <f t="shared" si="112"/>
        <v>0.0033333333333333335</v>
      </c>
      <c r="R268" s="12">
        <f t="shared" si="112"/>
        <v>0.0033333333333333335</v>
      </c>
      <c r="S268" s="12">
        <f t="shared" si="112"/>
        <v>0.0033333333333333335</v>
      </c>
      <c r="T268" s="150">
        <f t="shared" si="110"/>
        <v>0.03333333333333333</v>
      </c>
      <c r="U268" s="151"/>
      <c r="V268" s="223"/>
      <c r="W268" s="29"/>
      <c r="X268" s="29"/>
      <c r="Y268" s="29"/>
      <c r="Z268" s="29"/>
      <c r="AA268" s="29">
        <v>0.04</v>
      </c>
      <c r="AB268" s="29">
        <f t="shared" si="106"/>
        <v>0</v>
      </c>
      <c r="AC268" s="30"/>
      <c r="AD268" s="30">
        <f t="shared" si="107"/>
        <v>0.04</v>
      </c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>
        <f t="shared" si="108"/>
        <v>0</v>
      </c>
    </row>
    <row r="269" spans="2:48" ht="12.75">
      <c r="B269" s="20" t="s">
        <v>269</v>
      </c>
      <c r="C269" s="44" t="s">
        <v>229</v>
      </c>
      <c r="D269" s="166">
        <f>6.81-1.81-1</f>
        <v>4</v>
      </c>
      <c r="E269" s="238"/>
      <c r="F269" s="238"/>
      <c r="G269" s="166">
        <f>1.188+0.005+1.008+0.2</f>
        <v>2.401</v>
      </c>
      <c r="H269" s="12">
        <f>D269/12</f>
        <v>0.3333333333333333</v>
      </c>
      <c r="I269" s="12">
        <f aca="true" t="shared" si="113" ref="I269:S269">H269</f>
        <v>0.3333333333333333</v>
      </c>
      <c r="J269" s="12">
        <f t="shared" si="113"/>
        <v>0.3333333333333333</v>
      </c>
      <c r="K269" s="12">
        <f t="shared" si="113"/>
        <v>0.3333333333333333</v>
      </c>
      <c r="L269" s="12">
        <f t="shared" si="113"/>
        <v>0.3333333333333333</v>
      </c>
      <c r="M269" s="12">
        <f t="shared" si="113"/>
        <v>0.3333333333333333</v>
      </c>
      <c r="N269" s="12">
        <f t="shared" si="113"/>
        <v>0.3333333333333333</v>
      </c>
      <c r="O269" s="12">
        <f t="shared" si="113"/>
        <v>0.3333333333333333</v>
      </c>
      <c r="P269" s="12">
        <f t="shared" si="113"/>
        <v>0.3333333333333333</v>
      </c>
      <c r="Q269" s="12">
        <f t="shared" si="113"/>
        <v>0.3333333333333333</v>
      </c>
      <c r="R269" s="12">
        <f t="shared" si="113"/>
        <v>0.3333333333333333</v>
      </c>
      <c r="S269" s="12">
        <f t="shared" si="113"/>
        <v>0.3333333333333333</v>
      </c>
      <c r="T269" s="150">
        <f t="shared" si="110"/>
        <v>3.3333333333333335</v>
      </c>
      <c r="U269" s="151"/>
      <c r="V269" s="223"/>
      <c r="W269" s="29"/>
      <c r="X269" s="29"/>
      <c r="Y269" s="29">
        <f>6.81-1.81-1</f>
        <v>4</v>
      </c>
      <c r="Z269" s="29"/>
      <c r="AA269" s="29"/>
      <c r="AB269" s="29">
        <f t="shared" si="106"/>
        <v>0</v>
      </c>
      <c r="AC269" s="30"/>
      <c r="AD269" s="30">
        <f t="shared" si="107"/>
        <v>4</v>
      </c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>
        <f t="shared" si="108"/>
        <v>0</v>
      </c>
    </row>
    <row r="270" spans="2:48" ht="12.75">
      <c r="B270" s="20"/>
      <c r="C270" s="44" t="s">
        <v>225</v>
      </c>
      <c r="D270" s="166">
        <f>0.589-0.579</f>
        <v>0.010000000000000009</v>
      </c>
      <c r="E270" s="238"/>
      <c r="F270" s="238"/>
      <c r="G270" s="166">
        <v>0.007</v>
      </c>
      <c r="H270" s="12">
        <f>D270/12</f>
        <v>0.000833333333333334</v>
      </c>
      <c r="I270" s="12">
        <f aca="true" t="shared" si="114" ref="I270:S270">H270</f>
        <v>0.000833333333333334</v>
      </c>
      <c r="J270" s="12">
        <f t="shared" si="114"/>
        <v>0.000833333333333334</v>
      </c>
      <c r="K270" s="12">
        <f t="shared" si="114"/>
        <v>0.000833333333333334</v>
      </c>
      <c r="L270" s="12">
        <f t="shared" si="114"/>
        <v>0.000833333333333334</v>
      </c>
      <c r="M270" s="12">
        <f t="shared" si="114"/>
        <v>0.000833333333333334</v>
      </c>
      <c r="N270" s="12">
        <f t="shared" si="114"/>
        <v>0.000833333333333334</v>
      </c>
      <c r="O270" s="12">
        <f t="shared" si="114"/>
        <v>0.000833333333333334</v>
      </c>
      <c r="P270" s="12">
        <f t="shared" si="114"/>
        <v>0.000833333333333334</v>
      </c>
      <c r="Q270" s="12">
        <f t="shared" si="114"/>
        <v>0.000833333333333334</v>
      </c>
      <c r="R270" s="12">
        <f t="shared" si="114"/>
        <v>0.000833333333333334</v>
      </c>
      <c r="S270" s="12">
        <f t="shared" si="114"/>
        <v>0.000833333333333334</v>
      </c>
      <c r="T270" s="150">
        <f t="shared" si="110"/>
        <v>0.008333333333333342</v>
      </c>
      <c r="U270" s="151"/>
      <c r="V270" s="223"/>
      <c r="W270" s="29"/>
      <c r="X270" s="29"/>
      <c r="Y270" s="29"/>
      <c r="Z270" s="29"/>
      <c r="AA270" s="29">
        <f>0.589-0.579</f>
        <v>0.010000000000000009</v>
      </c>
      <c r="AB270" s="29">
        <f t="shared" si="106"/>
        <v>0</v>
      </c>
      <c r="AC270" s="30"/>
      <c r="AD270" s="30">
        <f t="shared" si="107"/>
        <v>0.010000000000000009</v>
      </c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>
        <f t="shared" si="108"/>
        <v>0</v>
      </c>
    </row>
    <row r="271" spans="2:48" ht="12.75">
      <c r="B271" s="20"/>
      <c r="C271" s="44" t="s">
        <v>524</v>
      </c>
      <c r="D271" s="166">
        <v>0.03</v>
      </c>
      <c r="E271" s="238"/>
      <c r="F271" s="238"/>
      <c r="G271" s="166"/>
      <c r="H271" s="81"/>
      <c r="I271" s="12"/>
      <c r="J271" s="12"/>
      <c r="K271" s="12"/>
      <c r="L271" s="12">
        <v>0.03</v>
      </c>
      <c r="M271" s="12"/>
      <c r="N271" s="12"/>
      <c r="O271" s="12"/>
      <c r="P271" s="12"/>
      <c r="Q271" s="12"/>
      <c r="R271" s="12"/>
      <c r="S271" s="12"/>
      <c r="T271" s="150">
        <f t="shared" si="110"/>
        <v>0.03</v>
      </c>
      <c r="U271" s="151"/>
      <c r="V271" s="223">
        <v>38530</v>
      </c>
      <c r="W271" s="29"/>
      <c r="X271" s="29"/>
      <c r="Y271" s="29"/>
      <c r="Z271" s="29"/>
      <c r="AA271" s="29">
        <v>0.03</v>
      </c>
      <c r="AB271" s="29">
        <f t="shared" si="106"/>
        <v>0</v>
      </c>
      <c r="AC271" s="30"/>
      <c r="AD271" s="30">
        <f t="shared" si="107"/>
        <v>0.03</v>
      </c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</row>
    <row r="272" spans="2:48" ht="12.75">
      <c r="B272" s="20" t="s">
        <v>733</v>
      </c>
      <c r="C272" s="44" t="s">
        <v>348</v>
      </c>
      <c r="D272" s="166">
        <v>0.237</v>
      </c>
      <c r="E272" s="238"/>
      <c r="F272" s="238"/>
      <c r="G272" s="166"/>
      <c r="H272" s="12">
        <f>D272/12</f>
        <v>0.01975</v>
      </c>
      <c r="I272" s="12">
        <f aca="true" t="shared" si="115" ref="I272:S272">H272</f>
        <v>0.01975</v>
      </c>
      <c r="J272" s="12">
        <f t="shared" si="115"/>
        <v>0.01975</v>
      </c>
      <c r="K272" s="12">
        <f t="shared" si="115"/>
        <v>0.01975</v>
      </c>
      <c r="L272" s="12">
        <f t="shared" si="115"/>
        <v>0.01975</v>
      </c>
      <c r="M272" s="12">
        <f t="shared" si="115"/>
        <v>0.01975</v>
      </c>
      <c r="N272" s="12">
        <f t="shared" si="115"/>
        <v>0.01975</v>
      </c>
      <c r="O272" s="12">
        <f t="shared" si="115"/>
        <v>0.01975</v>
      </c>
      <c r="P272" s="12">
        <f t="shared" si="115"/>
        <v>0.01975</v>
      </c>
      <c r="Q272" s="12">
        <f t="shared" si="115"/>
        <v>0.01975</v>
      </c>
      <c r="R272" s="12">
        <f t="shared" si="115"/>
        <v>0.01975</v>
      </c>
      <c r="S272" s="12">
        <f t="shared" si="115"/>
        <v>0.01975</v>
      </c>
      <c r="T272" s="150">
        <f t="shared" si="110"/>
        <v>0.19749999999999998</v>
      </c>
      <c r="U272" s="151"/>
      <c r="V272" s="223"/>
      <c r="W272" s="29"/>
      <c r="X272" s="29"/>
      <c r="Y272" s="29"/>
      <c r="Z272" s="29"/>
      <c r="AA272" s="29"/>
      <c r="AB272" s="29">
        <f>SUM(AF272:AU272)</f>
        <v>0.237</v>
      </c>
      <c r="AC272" s="30"/>
      <c r="AD272" s="30">
        <f>SUM(W272:AC272)</f>
        <v>0.237</v>
      </c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>
        <v>0.237</v>
      </c>
      <c r="AV272" s="30">
        <f t="shared" si="108"/>
        <v>0.237</v>
      </c>
    </row>
    <row r="273" spans="1:49" ht="12.75">
      <c r="A273" s="77"/>
      <c r="B273" s="20" t="s">
        <v>734</v>
      </c>
      <c r="C273" s="44" t="s">
        <v>732</v>
      </c>
      <c r="D273" s="5">
        <v>0.186</v>
      </c>
      <c r="E273" s="235"/>
      <c r="F273" s="237"/>
      <c r="G273" s="167">
        <v>0.014</v>
      </c>
      <c r="H273" s="12">
        <f>D273/12</f>
        <v>0.0155</v>
      </c>
      <c r="I273" s="12">
        <f aca="true" t="shared" si="116" ref="I273:S273">H273</f>
        <v>0.0155</v>
      </c>
      <c r="J273" s="12">
        <f t="shared" si="116"/>
        <v>0.0155</v>
      </c>
      <c r="K273" s="12">
        <f t="shared" si="116"/>
        <v>0.0155</v>
      </c>
      <c r="L273" s="12">
        <f t="shared" si="116"/>
        <v>0.0155</v>
      </c>
      <c r="M273" s="12">
        <f t="shared" si="116"/>
        <v>0.0155</v>
      </c>
      <c r="N273" s="12">
        <f t="shared" si="116"/>
        <v>0.0155</v>
      </c>
      <c r="O273" s="12">
        <f t="shared" si="116"/>
        <v>0.0155</v>
      </c>
      <c r="P273" s="12">
        <f t="shared" si="116"/>
        <v>0.0155</v>
      </c>
      <c r="Q273" s="12">
        <f t="shared" si="116"/>
        <v>0.0155</v>
      </c>
      <c r="R273" s="12">
        <f t="shared" si="116"/>
        <v>0.0155</v>
      </c>
      <c r="S273" s="12">
        <f t="shared" si="116"/>
        <v>0.0155</v>
      </c>
      <c r="T273" s="150">
        <f t="shared" si="110"/>
        <v>0.15500000000000003</v>
      </c>
      <c r="U273" s="151"/>
      <c r="V273" s="223"/>
      <c r="W273" s="29"/>
      <c r="X273" s="29"/>
      <c r="Y273" s="29"/>
      <c r="Z273" s="29"/>
      <c r="AA273" s="29"/>
      <c r="AB273" s="29">
        <f>SUM(AF273:AU273)</f>
        <v>0</v>
      </c>
      <c r="AC273" s="30">
        <v>0.186</v>
      </c>
      <c r="AD273" s="30">
        <f>SUM(W273:AC273)</f>
        <v>0.186</v>
      </c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>
        <f>SUM(AF273:AU273)</f>
        <v>0</v>
      </c>
      <c r="AW273" s="26" t="s">
        <v>347</v>
      </c>
    </row>
    <row r="274" spans="2:49" ht="12.75">
      <c r="B274" s="162" t="s">
        <v>239</v>
      </c>
      <c r="C274" s="44" t="s">
        <v>224</v>
      </c>
      <c r="D274" s="166">
        <f>0.277+0.118</f>
        <v>0.395</v>
      </c>
      <c r="E274" s="238"/>
      <c r="F274" s="238"/>
      <c r="G274" s="166">
        <f>0.376+0.001</f>
        <v>0.377</v>
      </c>
      <c r="H274" s="81">
        <v>0.023</v>
      </c>
      <c r="I274" s="12">
        <v>0.065</v>
      </c>
      <c r="J274" s="12">
        <v>0.085</v>
      </c>
      <c r="K274" s="12">
        <v>0.085</v>
      </c>
      <c r="L274" s="12">
        <v>0.08</v>
      </c>
      <c r="M274" s="12">
        <v>0.032</v>
      </c>
      <c r="N274" s="12">
        <v>0.012</v>
      </c>
      <c r="O274" s="12">
        <v>0.005</v>
      </c>
      <c r="P274" s="12">
        <v>0.008</v>
      </c>
      <c r="Q274" s="12"/>
      <c r="R274" s="12"/>
      <c r="S274" s="12"/>
      <c r="T274" s="150">
        <f t="shared" si="110"/>
        <v>0.395</v>
      </c>
      <c r="U274" s="151"/>
      <c r="V274" s="223"/>
      <c r="W274" s="29"/>
      <c r="X274" s="29"/>
      <c r="Y274" s="29"/>
      <c r="Z274" s="29">
        <v>0.034</v>
      </c>
      <c r="AA274" s="29">
        <v>0.172</v>
      </c>
      <c r="AB274" s="29">
        <f t="shared" si="106"/>
        <v>0.174</v>
      </c>
      <c r="AC274" s="30">
        <v>0.015</v>
      </c>
      <c r="AD274" s="30">
        <f t="shared" si="107"/>
        <v>0.395</v>
      </c>
      <c r="AF274" s="30"/>
      <c r="AG274" s="30"/>
      <c r="AH274" s="30"/>
      <c r="AI274" s="30">
        <v>0.174</v>
      </c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>
        <f t="shared" si="108"/>
        <v>0.174</v>
      </c>
      <c r="AW274" s="26" t="s">
        <v>389</v>
      </c>
    </row>
    <row r="275" spans="2:49" ht="12.75">
      <c r="B275" s="20" t="s">
        <v>484</v>
      </c>
      <c r="C275" s="173" t="s">
        <v>207</v>
      </c>
      <c r="D275" s="166">
        <v>0.103</v>
      </c>
      <c r="E275" s="238"/>
      <c r="F275" s="238"/>
      <c r="G275" s="166">
        <v>0.052</v>
      </c>
      <c r="H275" s="12">
        <f>D275/12</f>
        <v>0.008583333333333333</v>
      </c>
      <c r="I275" s="12">
        <f>H275</f>
        <v>0.008583333333333333</v>
      </c>
      <c r="J275" s="12">
        <f aca="true" t="shared" si="117" ref="J275:S275">I275</f>
        <v>0.008583333333333333</v>
      </c>
      <c r="K275" s="12">
        <f t="shared" si="117"/>
        <v>0.008583333333333333</v>
      </c>
      <c r="L275" s="12">
        <f t="shared" si="117"/>
        <v>0.008583333333333333</v>
      </c>
      <c r="M275" s="12">
        <f t="shared" si="117"/>
        <v>0.008583333333333333</v>
      </c>
      <c r="N275" s="12">
        <f t="shared" si="117"/>
        <v>0.008583333333333333</v>
      </c>
      <c r="O275" s="12">
        <f t="shared" si="117"/>
        <v>0.008583333333333333</v>
      </c>
      <c r="P275" s="12">
        <f t="shared" si="117"/>
        <v>0.008583333333333333</v>
      </c>
      <c r="Q275" s="12">
        <f t="shared" si="117"/>
        <v>0.008583333333333333</v>
      </c>
      <c r="R275" s="12">
        <f t="shared" si="117"/>
        <v>0.008583333333333333</v>
      </c>
      <c r="S275" s="12">
        <f t="shared" si="117"/>
        <v>0.008583333333333333</v>
      </c>
      <c r="T275" s="150">
        <f t="shared" si="110"/>
        <v>0.08583333333333333</v>
      </c>
      <c r="U275" s="151"/>
      <c r="V275" s="223"/>
      <c r="W275" s="29"/>
      <c r="X275" s="29"/>
      <c r="Y275" s="29"/>
      <c r="Z275" s="29"/>
      <c r="AA275" s="29"/>
      <c r="AB275" s="29">
        <f t="shared" si="106"/>
        <v>0.10300000000000001</v>
      </c>
      <c r="AC275" s="30"/>
      <c r="AD275" s="30">
        <f t="shared" si="107"/>
        <v>0.10300000000000001</v>
      </c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>
        <v>0.1</v>
      </c>
      <c r="AS275" s="30"/>
      <c r="AT275" s="30"/>
      <c r="AU275" s="30">
        <v>0.003</v>
      </c>
      <c r="AV275" s="30">
        <f>SUM(AF275:AU275)</f>
        <v>0.10300000000000001</v>
      </c>
      <c r="AW275" s="26" t="s">
        <v>430</v>
      </c>
    </row>
    <row r="276" spans="2:48" ht="12.75">
      <c r="B276" s="162" t="s">
        <v>482</v>
      </c>
      <c r="C276" s="44" t="s">
        <v>228</v>
      </c>
      <c r="D276" s="166">
        <f>0.3-0.2</f>
        <v>0.09999999999999998</v>
      </c>
      <c r="E276" s="238"/>
      <c r="F276" s="238"/>
      <c r="G276" s="166">
        <v>0.006</v>
      </c>
      <c r="H276" s="12">
        <f>D276/12</f>
        <v>0.008333333333333331</v>
      </c>
      <c r="I276" s="12">
        <f>H276</f>
        <v>0.008333333333333331</v>
      </c>
      <c r="J276" s="12">
        <f aca="true" t="shared" si="118" ref="J276:S276">I276</f>
        <v>0.008333333333333331</v>
      </c>
      <c r="K276" s="12">
        <f t="shared" si="118"/>
        <v>0.008333333333333331</v>
      </c>
      <c r="L276" s="12">
        <f t="shared" si="118"/>
        <v>0.008333333333333331</v>
      </c>
      <c r="M276" s="12">
        <f t="shared" si="118"/>
        <v>0.008333333333333331</v>
      </c>
      <c r="N276" s="12">
        <f t="shared" si="118"/>
        <v>0.008333333333333331</v>
      </c>
      <c r="O276" s="12">
        <f t="shared" si="118"/>
        <v>0.008333333333333331</v>
      </c>
      <c r="P276" s="12">
        <f t="shared" si="118"/>
        <v>0.008333333333333331</v>
      </c>
      <c r="Q276" s="12">
        <f t="shared" si="118"/>
        <v>0.008333333333333331</v>
      </c>
      <c r="R276" s="12">
        <f t="shared" si="118"/>
        <v>0.008333333333333331</v>
      </c>
      <c r="S276" s="12">
        <f t="shared" si="118"/>
        <v>0.008333333333333331</v>
      </c>
      <c r="T276" s="150">
        <f t="shared" si="110"/>
        <v>0.08333333333333331</v>
      </c>
      <c r="U276" s="151"/>
      <c r="V276" s="223"/>
      <c r="W276" s="29"/>
      <c r="X276" s="29"/>
      <c r="Y276" s="29"/>
      <c r="Z276" s="29"/>
      <c r="AA276" s="26">
        <v>0.1</v>
      </c>
      <c r="AB276" s="29">
        <f t="shared" si="106"/>
        <v>0</v>
      </c>
      <c r="AC276" s="30"/>
      <c r="AD276" s="30">
        <f t="shared" si="107"/>
        <v>0.1</v>
      </c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>
        <f>0.2-0.2</f>
        <v>0</v>
      </c>
      <c r="AS276" s="30"/>
      <c r="AT276" s="30"/>
      <c r="AU276" s="30"/>
      <c r="AV276" s="30">
        <f t="shared" si="108"/>
        <v>0</v>
      </c>
    </row>
    <row r="277" spans="2:48" ht="12.75">
      <c r="B277" s="20" t="s">
        <v>253</v>
      </c>
      <c r="C277" s="44" t="s">
        <v>613</v>
      </c>
      <c r="D277" s="166">
        <f>0.25+0.04+0.049-0.055-0.045</f>
        <v>0.239</v>
      </c>
      <c r="E277" s="238"/>
      <c r="F277" s="238"/>
      <c r="G277" s="166">
        <v>0.075</v>
      </c>
      <c r="H277" s="12">
        <f>D277/12</f>
        <v>0.019916666666666666</v>
      </c>
      <c r="I277" s="12">
        <f>H277</f>
        <v>0.019916666666666666</v>
      </c>
      <c r="J277" s="12">
        <f aca="true" t="shared" si="119" ref="J277:S277">I277</f>
        <v>0.019916666666666666</v>
      </c>
      <c r="K277" s="12">
        <f t="shared" si="119"/>
        <v>0.019916666666666666</v>
      </c>
      <c r="L277" s="12">
        <f t="shared" si="119"/>
        <v>0.019916666666666666</v>
      </c>
      <c r="M277" s="12">
        <f t="shared" si="119"/>
        <v>0.019916666666666666</v>
      </c>
      <c r="N277" s="12">
        <f t="shared" si="119"/>
        <v>0.019916666666666666</v>
      </c>
      <c r="O277" s="12">
        <f t="shared" si="119"/>
        <v>0.019916666666666666</v>
      </c>
      <c r="P277" s="12">
        <f t="shared" si="119"/>
        <v>0.019916666666666666</v>
      </c>
      <c r="Q277" s="12">
        <f t="shared" si="119"/>
        <v>0.019916666666666666</v>
      </c>
      <c r="R277" s="12">
        <f t="shared" si="119"/>
        <v>0.019916666666666666</v>
      </c>
      <c r="S277" s="12">
        <f t="shared" si="119"/>
        <v>0.019916666666666666</v>
      </c>
      <c r="T277" s="150">
        <f t="shared" si="110"/>
        <v>0.19916666666666666</v>
      </c>
      <c r="U277" s="151"/>
      <c r="V277" s="223"/>
      <c r="W277" s="29"/>
      <c r="X277" s="29"/>
      <c r="Y277" s="29"/>
      <c r="Z277" s="29"/>
      <c r="AA277" s="29">
        <f>0.25+0.04+0.049-0.055-0.045</f>
        <v>0.239</v>
      </c>
      <c r="AB277" s="29">
        <f t="shared" si="106"/>
        <v>0</v>
      </c>
      <c r="AC277" s="30"/>
      <c r="AD277" s="30">
        <f t="shared" si="107"/>
        <v>0.239</v>
      </c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>
        <f t="shared" si="108"/>
        <v>0</v>
      </c>
    </row>
    <row r="278" spans="2:49" ht="12.75">
      <c r="B278" s="20" t="s">
        <v>592</v>
      </c>
      <c r="C278" s="5" t="s">
        <v>456</v>
      </c>
      <c r="D278" s="166">
        <v>0.052</v>
      </c>
      <c r="E278" s="238">
        <v>38565</v>
      </c>
      <c r="F278" s="238">
        <v>38687</v>
      </c>
      <c r="G278" s="166">
        <v>0.048</v>
      </c>
      <c r="H278" s="81"/>
      <c r="I278" s="12"/>
      <c r="J278" s="12"/>
      <c r="K278" s="12"/>
      <c r="L278" s="12"/>
      <c r="M278" s="12"/>
      <c r="N278" s="12">
        <v>0.02</v>
      </c>
      <c r="O278" s="12">
        <v>0.025</v>
      </c>
      <c r="P278" s="12">
        <v>0.007</v>
      </c>
      <c r="Q278" s="12"/>
      <c r="R278" s="12"/>
      <c r="S278" s="12"/>
      <c r="T278" s="150">
        <f t="shared" si="110"/>
        <v>0.052</v>
      </c>
      <c r="U278" s="151"/>
      <c r="V278" s="223">
        <v>38572</v>
      </c>
      <c r="W278" s="29"/>
      <c r="X278" s="29"/>
      <c r="Y278" s="29"/>
      <c r="Z278" s="29"/>
      <c r="AA278" s="29"/>
      <c r="AB278" s="29">
        <f t="shared" si="106"/>
        <v>0.052</v>
      </c>
      <c r="AC278" s="30"/>
      <c r="AD278" s="30">
        <f t="shared" si="107"/>
        <v>0.052</v>
      </c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>
        <v>0.052</v>
      </c>
      <c r="AV278" s="30">
        <f t="shared" si="108"/>
        <v>0.052</v>
      </c>
      <c r="AW278" s="103" t="s">
        <v>568</v>
      </c>
    </row>
    <row r="279" spans="2:49" ht="12.75">
      <c r="B279" s="20" t="s">
        <v>593</v>
      </c>
      <c r="C279" s="142" t="s">
        <v>573</v>
      </c>
      <c r="D279" s="166">
        <v>0.217</v>
      </c>
      <c r="E279" s="238">
        <v>38565</v>
      </c>
      <c r="F279" s="238">
        <v>38687</v>
      </c>
      <c r="G279" s="166">
        <v>0.445</v>
      </c>
      <c r="H279" s="81"/>
      <c r="I279" s="12"/>
      <c r="J279" s="12"/>
      <c r="K279" s="12"/>
      <c r="L279" s="12"/>
      <c r="M279" s="12">
        <v>0.037</v>
      </c>
      <c r="N279" s="12">
        <v>0.05</v>
      </c>
      <c r="O279" s="12">
        <v>0.05</v>
      </c>
      <c r="P279" s="12">
        <v>0.05</v>
      </c>
      <c r="Q279" s="12">
        <v>0.03</v>
      </c>
      <c r="R279" s="12"/>
      <c r="S279" s="12"/>
      <c r="T279" s="150">
        <f t="shared" si="110"/>
        <v>0.217</v>
      </c>
      <c r="U279" s="151"/>
      <c r="V279" s="223">
        <v>38572</v>
      </c>
      <c r="W279" s="29"/>
      <c r="X279" s="29"/>
      <c r="Y279" s="29"/>
      <c r="Z279" s="29"/>
      <c r="AA279" s="29">
        <f>0.1-0.1</f>
        <v>0</v>
      </c>
      <c r="AB279" s="29">
        <f t="shared" si="106"/>
        <v>0.217</v>
      </c>
      <c r="AC279" s="30"/>
      <c r="AD279" s="30">
        <f t="shared" si="107"/>
        <v>0.217</v>
      </c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>
        <v>0.217</v>
      </c>
      <c r="AV279" s="30">
        <f t="shared" si="108"/>
        <v>0.217</v>
      </c>
      <c r="AW279" s="103" t="s">
        <v>568</v>
      </c>
    </row>
    <row r="280" spans="2:48" ht="12.75" hidden="1">
      <c r="B280" s="169" t="s">
        <v>41</v>
      </c>
      <c r="C280" s="76"/>
      <c r="D280" s="19"/>
      <c r="E280" s="238"/>
      <c r="F280" s="238"/>
      <c r="G280" s="166"/>
      <c r="H280" s="81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50">
        <f aca="true" t="shared" si="120" ref="T280:T322">D280/12*2</f>
        <v>0</v>
      </c>
      <c r="U280" s="151"/>
      <c r="V280" s="223"/>
      <c r="W280" s="29"/>
      <c r="X280" s="29"/>
      <c r="Y280" s="29"/>
      <c r="Z280" s="29"/>
      <c r="AA280" s="29"/>
      <c r="AB280" s="29">
        <f t="shared" si="106"/>
        <v>0</v>
      </c>
      <c r="AC280" s="30"/>
      <c r="AD280" s="30">
        <f t="shared" si="107"/>
        <v>0</v>
      </c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</row>
    <row r="281" spans="2:48" ht="12.75" hidden="1">
      <c r="B281" s="169" t="s">
        <v>489</v>
      </c>
      <c r="C281" s="76"/>
      <c r="D281" s="19"/>
      <c r="E281" s="238"/>
      <c r="F281" s="238"/>
      <c r="G281" s="166">
        <v>0.001</v>
      </c>
      <c r="H281" s="81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50"/>
      <c r="U281" s="151"/>
      <c r="V281" s="223"/>
      <c r="W281" s="29"/>
      <c r="X281" s="29"/>
      <c r="Y281" s="29"/>
      <c r="Z281" s="29"/>
      <c r="AA281" s="29"/>
      <c r="AB281" s="29"/>
      <c r="AC281" s="30"/>
      <c r="AD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</row>
    <row r="282" spans="2:48" ht="12.75" hidden="1">
      <c r="B282" s="169"/>
      <c r="C282" s="76"/>
      <c r="D282" s="19"/>
      <c r="E282" s="238"/>
      <c r="F282" s="238"/>
      <c r="G282" s="166"/>
      <c r="H282" s="81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50"/>
      <c r="U282" s="151"/>
      <c r="V282" s="223"/>
      <c r="W282" s="29"/>
      <c r="X282" s="29"/>
      <c r="Y282" s="29"/>
      <c r="Z282" s="29"/>
      <c r="AA282" s="29"/>
      <c r="AB282" s="29"/>
      <c r="AC282" s="30"/>
      <c r="AD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</row>
    <row r="283" spans="2:48" ht="12.75" hidden="1">
      <c r="B283" s="169" t="s">
        <v>42</v>
      </c>
      <c r="C283" s="76" t="s">
        <v>492</v>
      </c>
      <c r="D283" s="19"/>
      <c r="E283" s="238"/>
      <c r="F283" s="238"/>
      <c r="G283" s="166">
        <v>0.013</v>
      </c>
      <c r="H283" s="81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50">
        <f t="shared" si="120"/>
        <v>0</v>
      </c>
      <c r="U283" s="151"/>
      <c r="V283" s="223"/>
      <c r="W283" s="29"/>
      <c r="X283" s="29"/>
      <c r="Y283" s="29"/>
      <c r="Z283" s="29"/>
      <c r="AA283" s="29"/>
      <c r="AB283" s="29">
        <f t="shared" si="106"/>
        <v>0</v>
      </c>
      <c r="AC283" s="30"/>
      <c r="AD283" s="30">
        <f t="shared" si="107"/>
        <v>0</v>
      </c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</row>
    <row r="284" spans="2:48" ht="12.75" hidden="1">
      <c r="B284" s="169" t="s">
        <v>44</v>
      </c>
      <c r="C284" s="76" t="s">
        <v>493</v>
      </c>
      <c r="D284" s="19"/>
      <c r="E284" s="238"/>
      <c r="F284" s="238"/>
      <c r="G284" s="166">
        <v>0.072</v>
      </c>
      <c r="H284" s="81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50">
        <f t="shared" si="120"/>
        <v>0</v>
      </c>
      <c r="U284" s="151"/>
      <c r="V284" s="223"/>
      <c r="W284" s="29"/>
      <c r="X284" s="29"/>
      <c r="Y284" s="29"/>
      <c r="Z284" s="29"/>
      <c r="AA284" s="29"/>
      <c r="AB284" s="29">
        <f t="shared" si="106"/>
        <v>0</v>
      </c>
      <c r="AC284" s="30">
        <f>0.08-0.08</f>
        <v>0</v>
      </c>
      <c r="AD284" s="30">
        <f t="shared" si="107"/>
        <v>0</v>
      </c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</row>
    <row r="285" spans="2:48" ht="12.75" hidden="1">
      <c r="B285" s="169" t="s">
        <v>45</v>
      </c>
      <c r="C285" s="76"/>
      <c r="D285" s="19"/>
      <c r="E285" s="238"/>
      <c r="F285" s="238"/>
      <c r="G285" s="166">
        <v>0.001</v>
      </c>
      <c r="H285" s="81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50">
        <f t="shared" si="120"/>
        <v>0</v>
      </c>
      <c r="U285" s="151"/>
      <c r="V285" s="223"/>
      <c r="W285" s="29"/>
      <c r="X285" s="29"/>
      <c r="Y285" s="29"/>
      <c r="Z285" s="29"/>
      <c r="AA285" s="29"/>
      <c r="AB285" s="29">
        <f t="shared" si="106"/>
        <v>0</v>
      </c>
      <c r="AC285" s="30"/>
      <c r="AD285" s="30">
        <f t="shared" si="107"/>
        <v>0</v>
      </c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</row>
    <row r="286" spans="2:48" ht="12.75" hidden="1">
      <c r="B286" s="169" t="s">
        <v>46</v>
      </c>
      <c r="C286" s="76" t="s">
        <v>494</v>
      </c>
      <c r="D286" s="19"/>
      <c r="E286" s="238"/>
      <c r="F286" s="238"/>
      <c r="G286" s="166">
        <v>0.007</v>
      </c>
      <c r="H286" s="81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50">
        <f t="shared" si="120"/>
        <v>0</v>
      </c>
      <c r="U286" s="151"/>
      <c r="V286" s="223"/>
      <c r="W286" s="29"/>
      <c r="X286" s="29"/>
      <c r="Y286" s="29"/>
      <c r="Z286" s="29"/>
      <c r="AA286" s="29"/>
      <c r="AB286" s="29">
        <f t="shared" si="106"/>
        <v>0</v>
      </c>
      <c r="AC286" s="30"/>
      <c r="AD286" s="30">
        <f t="shared" si="107"/>
        <v>0</v>
      </c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>
        <f>SUM(AF286:AU286)</f>
        <v>0</v>
      </c>
    </row>
    <row r="287" spans="2:48" ht="12.75" hidden="1">
      <c r="B287" s="169" t="s">
        <v>47</v>
      </c>
      <c r="C287" s="76" t="s">
        <v>495</v>
      </c>
      <c r="D287" s="19"/>
      <c r="E287" s="238"/>
      <c r="F287" s="238"/>
      <c r="G287" s="166">
        <v>0.003</v>
      </c>
      <c r="H287" s="81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50">
        <f t="shared" si="120"/>
        <v>0</v>
      </c>
      <c r="U287" s="151"/>
      <c r="V287" s="223"/>
      <c r="W287" s="29"/>
      <c r="X287" s="29"/>
      <c r="Y287" s="29"/>
      <c r="Z287" s="29"/>
      <c r="AA287" s="29"/>
      <c r="AB287" s="29">
        <f t="shared" si="106"/>
        <v>0</v>
      </c>
      <c r="AC287" s="30"/>
      <c r="AD287" s="30">
        <f t="shared" si="107"/>
        <v>0</v>
      </c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</row>
    <row r="288" spans="2:48" ht="12.75" hidden="1">
      <c r="B288" s="169" t="s">
        <v>48</v>
      </c>
      <c r="C288" s="76" t="s">
        <v>496</v>
      </c>
      <c r="D288" s="19"/>
      <c r="E288" s="238"/>
      <c r="F288" s="238"/>
      <c r="G288" s="166">
        <v>0.148</v>
      </c>
      <c r="H288" s="81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50">
        <f t="shared" si="120"/>
        <v>0</v>
      </c>
      <c r="U288" s="151"/>
      <c r="V288" s="223"/>
      <c r="W288" s="29"/>
      <c r="X288" s="29"/>
      <c r="Y288" s="29"/>
      <c r="Z288" s="29"/>
      <c r="AA288" s="29"/>
      <c r="AB288" s="29">
        <f t="shared" si="106"/>
        <v>0</v>
      </c>
      <c r="AC288" s="30"/>
      <c r="AD288" s="30">
        <f t="shared" si="107"/>
        <v>0</v>
      </c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</row>
    <row r="289" spans="2:48" ht="12.75" hidden="1">
      <c r="B289" s="169" t="s">
        <v>49</v>
      </c>
      <c r="C289" s="76"/>
      <c r="D289" s="19"/>
      <c r="E289" s="238"/>
      <c r="F289" s="238"/>
      <c r="G289" s="166">
        <v>0</v>
      </c>
      <c r="H289" s="81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50">
        <f t="shared" si="120"/>
        <v>0</v>
      </c>
      <c r="U289" s="151"/>
      <c r="V289" s="223"/>
      <c r="W289" s="29"/>
      <c r="X289" s="29"/>
      <c r="Y289" s="29"/>
      <c r="Z289" s="29"/>
      <c r="AA289" s="29"/>
      <c r="AB289" s="29">
        <f t="shared" si="106"/>
        <v>0</v>
      </c>
      <c r="AC289" s="30"/>
      <c r="AD289" s="30">
        <f t="shared" si="107"/>
        <v>0</v>
      </c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</row>
    <row r="290" spans="2:48" ht="12.75" hidden="1">
      <c r="B290" s="169" t="s">
        <v>50</v>
      </c>
      <c r="C290" s="131"/>
      <c r="D290" s="19"/>
      <c r="E290" s="238"/>
      <c r="F290" s="238"/>
      <c r="G290" s="166"/>
      <c r="H290" s="81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50">
        <f t="shared" si="120"/>
        <v>0</v>
      </c>
      <c r="U290" s="151"/>
      <c r="V290" s="223"/>
      <c r="W290" s="29"/>
      <c r="X290" s="29"/>
      <c r="Y290" s="29"/>
      <c r="Z290" s="29"/>
      <c r="AA290" s="29">
        <f>D290</f>
        <v>0</v>
      </c>
      <c r="AB290" s="29">
        <f t="shared" si="106"/>
        <v>0</v>
      </c>
      <c r="AC290" s="30"/>
      <c r="AD290" s="30">
        <f t="shared" si="107"/>
        <v>0</v>
      </c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</row>
    <row r="291" spans="2:48" ht="12.75" hidden="1">
      <c r="B291" s="169" t="s">
        <v>594</v>
      </c>
      <c r="C291" s="76" t="s">
        <v>497</v>
      </c>
      <c r="D291" s="19"/>
      <c r="E291" s="238"/>
      <c r="F291" s="238"/>
      <c r="G291" s="166">
        <v>0.002</v>
      </c>
      <c r="H291" s="81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50"/>
      <c r="U291" s="151"/>
      <c r="V291" s="223"/>
      <c r="W291" s="29"/>
      <c r="X291" s="29"/>
      <c r="Y291" s="29"/>
      <c r="Z291" s="29"/>
      <c r="AA291" s="29"/>
      <c r="AB291" s="29"/>
      <c r="AC291" s="30"/>
      <c r="AD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</row>
    <row r="292" spans="2:48" ht="12.75" hidden="1">
      <c r="B292" s="169" t="s">
        <v>51</v>
      </c>
      <c r="C292" s="76" t="s">
        <v>498</v>
      </c>
      <c r="D292" s="19"/>
      <c r="E292" s="238"/>
      <c r="F292" s="238"/>
      <c r="G292" s="166">
        <v>0.005</v>
      </c>
      <c r="H292" s="81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50">
        <f t="shared" si="120"/>
        <v>0</v>
      </c>
      <c r="U292" s="151"/>
      <c r="V292" s="223"/>
      <c r="W292" s="29"/>
      <c r="X292" s="29"/>
      <c r="Y292" s="29"/>
      <c r="Z292" s="29"/>
      <c r="AA292" s="29"/>
      <c r="AB292" s="29">
        <f t="shared" si="106"/>
        <v>0</v>
      </c>
      <c r="AC292" s="30"/>
      <c r="AD292" s="30">
        <f t="shared" si="107"/>
        <v>0</v>
      </c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</row>
    <row r="293" spans="2:48" ht="12.75" hidden="1">
      <c r="B293" s="169" t="s">
        <v>654</v>
      </c>
      <c r="C293" s="76" t="s">
        <v>655</v>
      </c>
      <c r="D293" s="19"/>
      <c r="E293" s="238"/>
      <c r="F293" s="238"/>
      <c r="G293" s="166">
        <v>0.001</v>
      </c>
      <c r="H293" s="81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50"/>
      <c r="U293" s="151"/>
      <c r="V293" s="223"/>
      <c r="W293" s="29"/>
      <c r="X293" s="29"/>
      <c r="Y293" s="29"/>
      <c r="Z293" s="29"/>
      <c r="AA293" s="29"/>
      <c r="AB293" s="29"/>
      <c r="AC293" s="30"/>
      <c r="AD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</row>
    <row r="294" spans="2:48" ht="12.75" hidden="1">
      <c r="B294" s="169" t="s">
        <v>52</v>
      </c>
      <c r="C294" s="76"/>
      <c r="D294" s="19"/>
      <c r="E294" s="238"/>
      <c r="F294" s="238"/>
      <c r="G294" s="166">
        <v>0.001</v>
      </c>
      <c r="H294" s="81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50">
        <f t="shared" si="120"/>
        <v>0</v>
      </c>
      <c r="U294" s="151"/>
      <c r="V294" s="223"/>
      <c r="W294" s="29"/>
      <c r="X294" s="29"/>
      <c r="Y294" s="29"/>
      <c r="Z294" s="29"/>
      <c r="AA294" s="29"/>
      <c r="AB294" s="29">
        <f t="shared" si="106"/>
        <v>0</v>
      </c>
      <c r="AC294" s="30"/>
      <c r="AD294" s="30">
        <f t="shared" si="107"/>
        <v>0</v>
      </c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</row>
    <row r="295" spans="2:48" ht="12.75" hidden="1">
      <c r="B295" s="169" t="s">
        <v>53</v>
      </c>
      <c r="C295" s="76" t="s">
        <v>656</v>
      </c>
      <c r="D295" s="19"/>
      <c r="E295" s="244"/>
      <c r="F295" s="245"/>
      <c r="G295" s="166">
        <v>0.001</v>
      </c>
      <c r="H295" s="81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50">
        <f t="shared" si="120"/>
        <v>0</v>
      </c>
      <c r="U295" s="151"/>
      <c r="V295" s="223"/>
      <c r="W295" s="29"/>
      <c r="X295" s="29"/>
      <c r="Y295" s="29"/>
      <c r="Z295" s="29"/>
      <c r="AA295" s="29"/>
      <c r="AB295" s="29">
        <f t="shared" si="106"/>
        <v>0</v>
      </c>
      <c r="AC295" s="30"/>
      <c r="AD295" s="30">
        <f t="shared" si="107"/>
        <v>0</v>
      </c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>
        <f>SUM(AF295:AU295)</f>
        <v>0</v>
      </c>
    </row>
    <row r="296" spans="2:48" ht="12.75" hidden="1">
      <c r="B296" s="169" t="s">
        <v>54</v>
      </c>
      <c r="C296" s="76" t="s">
        <v>499</v>
      </c>
      <c r="D296" s="19"/>
      <c r="E296" s="244"/>
      <c r="F296" s="245"/>
      <c r="G296" s="166">
        <v>0.002</v>
      </c>
      <c r="H296" s="81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50">
        <f t="shared" si="120"/>
        <v>0</v>
      </c>
      <c r="U296" s="151"/>
      <c r="V296" s="223"/>
      <c r="W296" s="29"/>
      <c r="X296" s="29"/>
      <c r="Y296" s="29"/>
      <c r="Z296" s="29"/>
      <c r="AA296" s="29"/>
      <c r="AB296" s="29">
        <f t="shared" si="106"/>
        <v>0</v>
      </c>
      <c r="AC296" s="30"/>
      <c r="AD296" s="30">
        <f t="shared" si="107"/>
        <v>0</v>
      </c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</row>
    <row r="297" spans="2:48" ht="12.75" hidden="1">
      <c r="B297" s="169" t="s">
        <v>55</v>
      </c>
      <c r="C297" s="76" t="s">
        <v>500</v>
      </c>
      <c r="D297" s="19"/>
      <c r="E297" s="244"/>
      <c r="F297" s="245"/>
      <c r="G297" s="166">
        <v>0.002</v>
      </c>
      <c r="H297" s="81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50">
        <f t="shared" si="120"/>
        <v>0</v>
      </c>
      <c r="U297" s="151"/>
      <c r="V297" s="223"/>
      <c r="W297" s="29"/>
      <c r="X297" s="29"/>
      <c r="Y297" s="29"/>
      <c r="Z297" s="29"/>
      <c r="AA297" s="29"/>
      <c r="AB297" s="29">
        <f t="shared" si="106"/>
        <v>0</v>
      </c>
      <c r="AC297" s="30"/>
      <c r="AD297" s="30">
        <f t="shared" si="107"/>
        <v>0</v>
      </c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>
        <f>SUM(AF297:AU297)</f>
        <v>0</v>
      </c>
    </row>
    <row r="298" spans="2:48" ht="12.75" hidden="1">
      <c r="B298" s="169" t="s">
        <v>56</v>
      </c>
      <c r="C298" s="76" t="s">
        <v>501</v>
      </c>
      <c r="D298" s="19"/>
      <c r="E298" s="140"/>
      <c r="F298" s="140"/>
      <c r="G298" s="166">
        <v>0.002</v>
      </c>
      <c r="H298" s="81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50">
        <f t="shared" si="120"/>
        <v>0</v>
      </c>
      <c r="U298" s="151"/>
      <c r="V298" s="223"/>
      <c r="W298" s="29"/>
      <c r="X298" s="29"/>
      <c r="Y298" s="29"/>
      <c r="Z298" s="29"/>
      <c r="AA298" s="29"/>
      <c r="AB298" s="29">
        <f t="shared" si="106"/>
        <v>0</v>
      </c>
      <c r="AC298" s="30"/>
      <c r="AD298" s="30">
        <f t="shared" si="107"/>
        <v>0</v>
      </c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</row>
    <row r="299" spans="2:48" ht="12.75" hidden="1">
      <c r="B299" s="169" t="s">
        <v>57</v>
      </c>
      <c r="C299" s="76" t="s">
        <v>502</v>
      </c>
      <c r="D299" s="19"/>
      <c r="E299" s="238"/>
      <c r="F299" s="238"/>
      <c r="G299" s="166">
        <v>0.011</v>
      </c>
      <c r="H299" s="81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50">
        <f t="shared" si="120"/>
        <v>0</v>
      </c>
      <c r="U299" s="151"/>
      <c r="V299" s="223"/>
      <c r="W299" s="29"/>
      <c r="X299" s="29"/>
      <c r="Y299" s="29"/>
      <c r="Z299" s="29"/>
      <c r="AA299" s="29"/>
      <c r="AB299" s="29">
        <f t="shared" si="106"/>
        <v>0</v>
      </c>
      <c r="AC299" s="30"/>
      <c r="AD299" s="30">
        <f t="shared" si="107"/>
        <v>0</v>
      </c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>
        <f>SUM(AF299:AU299)</f>
        <v>0</v>
      </c>
    </row>
    <row r="300" spans="2:48" ht="12.75" hidden="1">
      <c r="B300" s="169" t="s">
        <v>58</v>
      </c>
      <c r="C300" s="76" t="s">
        <v>657</v>
      </c>
      <c r="D300" s="19"/>
      <c r="E300" s="238"/>
      <c r="F300" s="238"/>
      <c r="G300" s="166">
        <v>0.031</v>
      </c>
      <c r="H300" s="81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50">
        <f t="shared" si="120"/>
        <v>0</v>
      </c>
      <c r="U300" s="151"/>
      <c r="V300" s="223"/>
      <c r="W300" s="29"/>
      <c r="X300" s="29"/>
      <c r="Y300" s="29"/>
      <c r="Z300" s="29"/>
      <c r="AA300" s="29"/>
      <c r="AB300" s="29">
        <f t="shared" si="106"/>
        <v>0</v>
      </c>
      <c r="AC300" s="30"/>
      <c r="AD300" s="30">
        <f t="shared" si="107"/>
        <v>0</v>
      </c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>
        <f>SUM(AF300:AU300)</f>
        <v>0</v>
      </c>
    </row>
    <row r="301" spans="2:48" ht="12.75" hidden="1">
      <c r="B301" s="169" t="s">
        <v>59</v>
      </c>
      <c r="C301" s="76" t="s">
        <v>503</v>
      </c>
      <c r="D301" s="19"/>
      <c r="E301" s="238"/>
      <c r="F301" s="238"/>
      <c r="G301" s="166">
        <v>0.051</v>
      </c>
      <c r="H301" s="81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50">
        <f t="shared" si="120"/>
        <v>0</v>
      </c>
      <c r="U301" s="151"/>
      <c r="V301" s="223"/>
      <c r="W301" s="29"/>
      <c r="X301" s="29"/>
      <c r="Y301" s="29"/>
      <c r="Z301" s="29"/>
      <c r="AA301" s="29"/>
      <c r="AB301" s="29">
        <f t="shared" si="106"/>
        <v>0</v>
      </c>
      <c r="AC301" s="30"/>
      <c r="AD301" s="30">
        <f t="shared" si="107"/>
        <v>0</v>
      </c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</row>
    <row r="302" spans="2:48" ht="12.75" hidden="1">
      <c r="B302" s="169" t="s">
        <v>60</v>
      </c>
      <c r="C302" s="76" t="s">
        <v>658</v>
      </c>
      <c r="D302" s="19"/>
      <c r="E302" s="238"/>
      <c r="F302" s="238"/>
      <c r="G302" s="166">
        <v>0.005</v>
      </c>
      <c r="H302" s="81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50">
        <f t="shared" si="120"/>
        <v>0</v>
      </c>
      <c r="U302" s="151"/>
      <c r="V302" s="223"/>
      <c r="W302" s="29"/>
      <c r="X302" s="29"/>
      <c r="Y302" s="29"/>
      <c r="Z302" s="29"/>
      <c r="AA302" s="29"/>
      <c r="AB302" s="29">
        <f t="shared" si="106"/>
        <v>0</v>
      </c>
      <c r="AC302" s="30"/>
      <c r="AD302" s="30">
        <f t="shared" si="107"/>
        <v>0</v>
      </c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>
        <f>SUM(AF302:AU302)</f>
        <v>0</v>
      </c>
    </row>
    <row r="303" spans="2:48" ht="12.75" hidden="1">
      <c r="B303" s="169"/>
      <c r="C303" s="76"/>
      <c r="D303" s="19"/>
      <c r="E303" s="244"/>
      <c r="F303" s="245"/>
      <c r="G303" s="167"/>
      <c r="H303" s="81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50">
        <f t="shared" si="120"/>
        <v>0</v>
      </c>
      <c r="U303" s="151"/>
      <c r="V303" s="223"/>
      <c r="W303" s="29"/>
      <c r="X303" s="29"/>
      <c r="Y303" s="29"/>
      <c r="Z303" s="29"/>
      <c r="AA303" s="29"/>
      <c r="AB303" s="29">
        <f t="shared" si="106"/>
        <v>0</v>
      </c>
      <c r="AC303" s="30"/>
      <c r="AD303" s="30">
        <f t="shared" si="107"/>
        <v>0</v>
      </c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>
        <f>SUM(AF303:AU303)</f>
        <v>0</v>
      </c>
    </row>
    <row r="304" spans="2:48" ht="12.75" hidden="1">
      <c r="B304" s="169" t="s">
        <v>611</v>
      </c>
      <c r="C304" s="76" t="s">
        <v>659</v>
      </c>
      <c r="D304" s="19"/>
      <c r="E304" s="238"/>
      <c r="F304" s="238"/>
      <c r="G304" s="166">
        <v>0.043</v>
      </c>
      <c r="H304" s="81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50">
        <f t="shared" si="120"/>
        <v>0</v>
      </c>
      <c r="U304" s="151"/>
      <c r="V304" s="223"/>
      <c r="W304" s="29"/>
      <c r="X304" s="29"/>
      <c r="Y304" s="29"/>
      <c r="Z304" s="29"/>
      <c r="AA304" s="29"/>
      <c r="AB304" s="29">
        <f t="shared" si="106"/>
        <v>0</v>
      </c>
      <c r="AC304" s="30"/>
      <c r="AD304" s="30">
        <f t="shared" si="107"/>
        <v>0</v>
      </c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>
        <f>SUM(AF304:AU304)</f>
        <v>0</v>
      </c>
    </row>
    <row r="305" spans="2:48" ht="12.75" hidden="1">
      <c r="B305" s="169"/>
      <c r="C305" s="76"/>
      <c r="D305" s="19"/>
      <c r="E305" s="238"/>
      <c r="F305" s="238"/>
      <c r="G305" s="166"/>
      <c r="H305" s="81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50">
        <f t="shared" si="120"/>
        <v>0</v>
      </c>
      <c r="U305" s="151"/>
      <c r="V305" s="223"/>
      <c r="W305" s="29"/>
      <c r="X305" s="29"/>
      <c r="Y305" s="29"/>
      <c r="Z305" s="29"/>
      <c r="AA305" s="29"/>
      <c r="AB305" s="29">
        <f t="shared" si="106"/>
        <v>0</v>
      </c>
      <c r="AC305" s="30"/>
      <c r="AD305" s="30">
        <f t="shared" si="107"/>
        <v>0</v>
      </c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</row>
    <row r="306" spans="2:48" ht="12.75" hidden="1">
      <c r="B306" s="169"/>
      <c r="C306" s="76"/>
      <c r="D306" s="19"/>
      <c r="E306" s="238"/>
      <c r="F306" s="238"/>
      <c r="G306" s="166"/>
      <c r="H306" s="81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50">
        <f t="shared" si="120"/>
        <v>0</v>
      </c>
      <c r="U306" s="151"/>
      <c r="V306" s="223"/>
      <c r="W306" s="29"/>
      <c r="X306" s="29"/>
      <c r="Y306" s="29"/>
      <c r="Z306" s="29"/>
      <c r="AA306" s="29"/>
      <c r="AB306" s="29">
        <f t="shared" si="106"/>
        <v>0</v>
      </c>
      <c r="AC306" s="30"/>
      <c r="AD306" s="30">
        <f t="shared" si="107"/>
        <v>0</v>
      </c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>
        <f>SUM(AF306:AU306)</f>
        <v>0</v>
      </c>
    </row>
    <row r="307" spans="2:48" ht="12.75" hidden="1">
      <c r="B307" s="169"/>
      <c r="C307" s="76"/>
      <c r="D307" s="19"/>
      <c r="E307" s="238"/>
      <c r="F307" s="238"/>
      <c r="G307" s="166"/>
      <c r="H307" s="81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50">
        <f t="shared" si="120"/>
        <v>0</v>
      </c>
      <c r="U307" s="151"/>
      <c r="V307" s="223"/>
      <c r="W307" s="29"/>
      <c r="X307" s="29"/>
      <c r="Y307" s="29"/>
      <c r="Z307" s="29"/>
      <c r="AA307" s="29"/>
      <c r="AB307" s="29">
        <f t="shared" si="106"/>
        <v>0</v>
      </c>
      <c r="AC307" s="30"/>
      <c r="AD307" s="30">
        <f t="shared" si="107"/>
        <v>0</v>
      </c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>
        <f>SUM(AF307:AU307)</f>
        <v>0</v>
      </c>
    </row>
    <row r="308" spans="2:48" ht="12.75" hidden="1">
      <c r="B308" s="169"/>
      <c r="C308" s="76"/>
      <c r="D308" s="19"/>
      <c r="E308" s="238"/>
      <c r="F308" s="238"/>
      <c r="G308" s="166"/>
      <c r="H308" s="81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50">
        <f t="shared" si="120"/>
        <v>0</v>
      </c>
      <c r="U308" s="151"/>
      <c r="V308" s="223"/>
      <c r="W308" s="29"/>
      <c r="X308" s="29"/>
      <c r="Y308" s="29"/>
      <c r="Z308" s="29"/>
      <c r="AA308" s="29"/>
      <c r="AB308" s="29">
        <f t="shared" si="106"/>
        <v>0</v>
      </c>
      <c r="AC308" s="30"/>
      <c r="AD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</row>
    <row r="309" spans="2:48" ht="12.75" hidden="1">
      <c r="B309" s="169"/>
      <c r="C309" s="76"/>
      <c r="D309" s="19"/>
      <c r="E309" s="238"/>
      <c r="F309" s="238"/>
      <c r="G309" s="166"/>
      <c r="H309" s="81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50">
        <f t="shared" si="120"/>
        <v>0</v>
      </c>
      <c r="U309" s="151"/>
      <c r="V309" s="223"/>
      <c r="W309" s="29"/>
      <c r="X309" s="29"/>
      <c r="Y309" s="29"/>
      <c r="Z309" s="29"/>
      <c r="AA309" s="29"/>
      <c r="AB309" s="29">
        <f t="shared" si="106"/>
        <v>0</v>
      </c>
      <c r="AC309" s="30"/>
      <c r="AD309" s="30">
        <f aca="true" t="shared" si="121" ref="AD309:AD319">SUM(W309:AC309)</f>
        <v>0</v>
      </c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>
        <f>SUM(AF309:AU309)</f>
        <v>0</v>
      </c>
    </row>
    <row r="310" spans="2:48" ht="12.75" hidden="1">
      <c r="B310" s="169"/>
      <c r="C310" s="76"/>
      <c r="D310" s="19"/>
      <c r="E310" s="238"/>
      <c r="F310" s="238"/>
      <c r="G310" s="166"/>
      <c r="H310" s="81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50">
        <f t="shared" si="120"/>
        <v>0</v>
      </c>
      <c r="U310" s="151"/>
      <c r="V310" s="223"/>
      <c r="W310" s="29"/>
      <c r="X310" s="29"/>
      <c r="Y310" s="29"/>
      <c r="Z310" s="29"/>
      <c r="AA310" s="29"/>
      <c r="AB310" s="29">
        <f t="shared" si="106"/>
        <v>0</v>
      </c>
      <c r="AC310" s="30"/>
      <c r="AD310" s="30">
        <f t="shared" si="121"/>
        <v>0</v>
      </c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>
        <f>SUM(AF310:AU310)</f>
        <v>0</v>
      </c>
    </row>
    <row r="311" spans="2:48" ht="12.75" hidden="1">
      <c r="B311" s="169"/>
      <c r="C311" s="76"/>
      <c r="D311" s="19"/>
      <c r="E311" s="238"/>
      <c r="F311" s="238"/>
      <c r="G311" s="166"/>
      <c r="H311" s="81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50">
        <f t="shared" si="120"/>
        <v>0</v>
      </c>
      <c r="U311" s="151"/>
      <c r="V311" s="223"/>
      <c r="W311" s="29"/>
      <c r="X311" s="29"/>
      <c r="Y311" s="29"/>
      <c r="Z311" s="29"/>
      <c r="AA311" s="29"/>
      <c r="AB311" s="29">
        <f t="shared" si="106"/>
        <v>0</v>
      </c>
      <c r="AC311" s="30"/>
      <c r="AD311" s="30">
        <f t="shared" si="121"/>
        <v>0</v>
      </c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</row>
    <row r="312" spans="2:48" ht="12.75" hidden="1">
      <c r="B312" s="169"/>
      <c r="C312" s="76"/>
      <c r="D312" s="19"/>
      <c r="E312" s="238"/>
      <c r="F312" s="238"/>
      <c r="G312" s="166"/>
      <c r="H312" s="81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50">
        <f t="shared" si="120"/>
        <v>0</v>
      </c>
      <c r="U312" s="151"/>
      <c r="V312" s="223"/>
      <c r="W312" s="29"/>
      <c r="X312" s="29"/>
      <c r="Y312" s="29"/>
      <c r="Z312" s="29"/>
      <c r="AA312" s="29"/>
      <c r="AB312" s="29">
        <f t="shared" si="106"/>
        <v>0</v>
      </c>
      <c r="AC312" s="30"/>
      <c r="AD312" s="30">
        <f t="shared" si="121"/>
        <v>0</v>
      </c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</row>
    <row r="313" spans="2:48" ht="12.75" hidden="1">
      <c r="B313" s="169"/>
      <c r="C313" s="76"/>
      <c r="D313" s="19"/>
      <c r="E313" s="238"/>
      <c r="F313" s="238"/>
      <c r="G313" s="166"/>
      <c r="H313" s="81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50">
        <f t="shared" si="120"/>
        <v>0</v>
      </c>
      <c r="U313" s="151"/>
      <c r="V313" s="223"/>
      <c r="W313" s="29"/>
      <c r="X313" s="29"/>
      <c r="Y313" s="29"/>
      <c r="Z313" s="29"/>
      <c r="AA313" s="29"/>
      <c r="AB313" s="29">
        <f t="shared" si="106"/>
        <v>0</v>
      </c>
      <c r="AC313" s="30"/>
      <c r="AD313" s="30">
        <f t="shared" si="121"/>
        <v>0</v>
      </c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>
        <f aca="true" t="shared" si="122" ref="AV313:AV319">SUM(AF313:AU313)</f>
        <v>0</v>
      </c>
    </row>
    <row r="314" spans="2:48" ht="12.75" hidden="1">
      <c r="B314" s="169"/>
      <c r="C314" s="76"/>
      <c r="D314" s="19"/>
      <c r="E314" s="238"/>
      <c r="F314" s="238"/>
      <c r="G314" s="166"/>
      <c r="H314" s="81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50">
        <f t="shared" si="120"/>
        <v>0</v>
      </c>
      <c r="U314" s="151"/>
      <c r="V314" s="223"/>
      <c r="W314" s="29"/>
      <c r="X314" s="29"/>
      <c r="Y314" s="29"/>
      <c r="Z314" s="29"/>
      <c r="AA314" s="29"/>
      <c r="AB314" s="29">
        <f t="shared" si="106"/>
        <v>0</v>
      </c>
      <c r="AC314" s="30"/>
      <c r="AD314" s="30">
        <f t="shared" si="121"/>
        <v>0</v>
      </c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>
        <f t="shared" si="122"/>
        <v>0</v>
      </c>
    </row>
    <row r="315" spans="2:48" ht="12.75" hidden="1">
      <c r="B315" s="169"/>
      <c r="C315" s="76"/>
      <c r="D315" s="19"/>
      <c r="E315" s="238"/>
      <c r="F315" s="238"/>
      <c r="G315" s="166"/>
      <c r="H315" s="81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50">
        <f t="shared" si="120"/>
        <v>0</v>
      </c>
      <c r="U315" s="151"/>
      <c r="V315" s="223"/>
      <c r="W315" s="29"/>
      <c r="X315" s="29"/>
      <c r="Y315" s="29"/>
      <c r="Z315" s="29"/>
      <c r="AA315" s="29"/>
      <c r="AB315" s="29">
        <f t="shared" si="106"/>
        <v>0</v>
      </c>
      <c r="AC315" s="30"/>
      <c r="AD315" s="30">
        <f t="shared" si="121"/>
        <v>0</v>
      </c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>
        <f t="shared" si="122"/>
        <v>0</v>
      </c>
    </row>
    <row r="316" spans="2:48" ht="12.75" hidden="1">
      <c r="B316" s="169"/>
      <c r="C316" s="76"/>
      <c r="D316" s="19"/>
      <c r="E316" s="238"/>
      <c r="F316" s="238"/>
      <c r="G316" s="166"/>
      <c r="H316" s="81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50">
        <f t="shared" si="120"/>
        <v>0</v>
      </c>
      <c r="U316" s="151"/>
      <c r="V316" s="223"/>
      <c r="W316" s="29"/>
      <c r="X316" s="29"/>
      <c r="Y316" s="29"/>
      <c r="Z316" s="29"/>
      <c r="AA316" s="29"/>
      <c r="AB316" s="29">
        <f t="shared" si="106"/>
        <v>0</v>
      </c>
      <c r="AC316" s="30"/>
      <c r="AD316" s="30">
        <f t="shared" si="121"/>
        <v>0</v>
      </c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>
        <f t="shared" si="122"/>
        <v>0</v>
      </c>
    </row>
    <row r="317" spans="2:48" ht="12.75" hidden="1">
      <c r="B317" s="169"/>
      <c r="C317" s="76"/>
      <c r="D317" s="19"/>
      <c r="E317" s="238"/>
      <c r="F317" s="238"/>
      <c r="G317" s="166"/>
      <c r="H317" s="81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50">
        <f t="shared" si="120"/>
        <v>0</v>
      </c>
      <c r="U317" s="151"/>
      <c r="V317" s="223"/>
      <c r="W317" s="29"/>
      <c r="X317" s="29"/>
      <c r="Y317" s="29"/>
      <c r="Z317" s="29"/>
      <c r="AA317" s="29"/>
      <c r="AB317" s="29">
        <f t="shared" si="106"/>
        <v>0</v>
      </c>
      <c r="AC317" s="30"/>
      <c r="AD317" s="30">
        <f t="shared" si="121"/>
        <v>0</v>
      </c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>
        <f t="shared" si="122"/>
        <v>0</v>
      </c>
    </row>
    <row r="318" spans="2:48" ht="12.75" hidden="1">
      <c r="B318" s="169"/>
      <c r="C318" s="105"/>
      <c r="D318" s="19"/>
      <c r="E318" s="238"/>
      <c r="F318" s="238"/>
      <c r="G318" s="166"/>
      <c r="H318" s="81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50">
        <f t="shared" si="120"/>
        <v>0</v>
      </c>
      <c r="U318" s="151"/>
      <c r="V318" s="223"/>
      <c r="W318" s="29"/>
      <c r="X318" s="29"/>
      <c r="Y318" s="29"/>
      <c r="Z318" s="29"/>
      <c r="AA318" s="29"/>
      <c r="AB318" s="29">
        <f t="shared" si="106"/>
        <v>0</v>
      </c>
      <c r="AC318" s="30"/>
      <c r="AD318" s="30">
        <f t="shared" si="121"/>
        <v>0</v>
      </c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>
        <f t="shared" si="122"/>
        <v>0</v>
      </c>
    </row>
    <row r="319" spans="2:48" ht="12.75" hidden="1">
      <c r="B319" s="169"/>
      <c r="C319" s="105"/>
      <c r="D319" s="19"/>
      <c r="E319" s="238"/>
      <c r="F319" s="238"/>
      <c r="G319" s="166"/>
      <c r="H319" s="81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50">
        <f t="shared" si="120"/>
        <v>0</v>
      </c>
      <c r="U319" s="151"/>
      <c r="V319" s="223"/>
      <c r="W319" s="29"/>
      <c r="X319" s="29"/>
      <c r="Y319" s="29"/>
      <c r="Z319" s="29"/>
      <c r="AA319" s="29"/>
      <c r="AB319" s="29">
        <f t="shared" si="106"/>
        <v>0</v>
      </c>
      <c r="AC319" s="30"/>
      <c r="AD319" s="30">
        <f t="shared" si="121"/>
        <v>0</v>
      </c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>
        <f t="shared" si="122"/>
        <v>0</v>
      </c>
    </row>
    <row r="320" spans="2:48" ht="12.75" hidden="1">
      <c r="B320" s="169"/>
      <c r="C320" s="105"/>
      <c r="D320" s="19"/>
      <c r="E320" s="238"/>
      <c r="F320" s="238"/>
      <c r="G320" s="166"/>
      <c r="H320" s="81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50">
        <f t="shared" si="120"/>
        <v>0</v>
      </c>
      <c r="U320" s="151"/>
      <c r="V320" s="223"/>
      <c r="W320" s="29"/>
      <c r="X320" s="29"/>
      <c r="Y320" s="29"/>
      <c r="Z320" s="29"/>
      <c r="AA320" s="29"/>
      <c r="AB320" s="29">
        <f t="shared" si="106"/>
        <v>0</v>
      </c>
      <c r="AC320" s="30"/>
      <c r="AD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</row>
    <row r="321" spans="2:48" ht="12.75" hidden="1">
      <c r="B321" s="169"/>
      <c r="C321" s="105"/>
      <c r="D321" s="19"/>
      <c r="E321" s="238"/>
      <c r="F321" s="238"/>
      <c r="G321" s="166"/>
      <c r="H321" s="81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50">
        <f t="shared" si="120"/>
        <v>0</v>
      </c>
      <c r="U321" s="151"/>
      <c r="V321" s="223"/>
      <c r="W321" s="29"/>
      <c r="X321" s="29"/>
      <c r="Y321" s="29"/>
      <c r="Z321" s="29"/>
      <c r="AA321" s="29"/>
      <c r="AB321" s="29">
        <f t="shared" si="106"/>
        <v>0</v>
      </c>
      <c r="AC321" s="30"/>
      <c r="AD321" s="30">
        <f>SUM(W321:AC321)</f>
        <v>0</v>
      </c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</row>
    <row r="322" spans="2:48" ht="12.75" hidden="1">
      <c r="B322" s="169"/>
      <c r="C322" s="105"/>
      <c r="D322" s="19"/>
      <c r="E322" s="238"/>
      <c r="F322" s="238"/>
      <c r="G322" s="166"/>
      <c r="H322" s="81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50">
        <f t="shared" si="120"/>
        <v>0</v>
      </c>
      <c r="U322" s="151"/>
      <c r="V322" s="223"/>
      <c r="W322" s="29"/>
      <c r="X322" s="29"/>
      <c r="Y322" s="29"/>
      <c r="Z322" s="29"/>
      <c r="AA322" s="29"/>
      <c r="AB322" s="29">
        <f t="shared" si="106"/>
        <v>0</v>
      </c>
      <c r="AC322" s="30"/>
      <c r="AD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</row>
    <row r="323" spans="1:48" ht="12.75">
      <c r="A323" s="26" t="s">
        <v>254</v>
      </c>
      <c r="B323" s="286"/>
      <c r="C323" s="94" t="s">
        <v>243</v>
      </c>
      <c r="D323" s="19">
        <f>G323</f>
        <v>0.402</v>
      </c>
      <c r="E323" s="238"/>
      <c r="F323" s="238"/>
      <c r="G323" s="166">
        <f>SUM(G280:G322)</f>
        <v>0.402</v>
      </c>
      <c r="H323" s="12">
        <f>D323/12</f>
        <v>0.0335</v>
      </c>
      <c r="I323" s="12">
        <f aca="true" t="shared" si="123" ref="I323:S324">H323</f>
        <v>0.0335</v>
      </c>
      <c r="J323" s="12">
        <f t="shared" si="123"/>
        <v>0.0335</v>
      </c>
      <c r="K323" s="12">
        <f t="shared" si="123"/>
        <v>0.0335</v>
      </c>
      <c r="L323" s="12">
        <f t="shared" si="123"/>
        <v>0.0335</v>
      </c>
      <c r="M323" s="12">
        <f t="shared" si="123"/>
        <v>0.0335</v>
      </c>
      <c r="N323" s="12">
        <f t="shared" si="123"/>
        <v>0.0335</v>
      </c>
      <c r="O323" s="12">
        <f t="shared" si="123"/>
        <v>0.0335</v>
      </c>
      <c r="P323" s="12">
        <f t="shared" si="123"/>
        <v>0.0335</v>
      </c>
      <c r="Q323" s="12">
        <f t="shared" si="123"/>
        <v>0.0335</v>
      </c>
      <c r="R323" s="12">
        <f t="shared" si="123"/>
        <v>0.0335</v>
      </c>
      <c r="S323" s="12">
        <f t="shared" si="123"/>
        <v>0.0335</v>
      </c>
      <c r="T323" s="150">
        <f>SUM(H323:Q323)</f>
        <v>0.33499999999999996</v>
      </c>
      <c r="U323" s="151"/>
      <c r="V323" s="223"/>
      <c r="W323" s="29"/>
      <c r="X323" s="29"/>
      <c r="Y323" s="29"/>
      <c r="Z323" s="29"/>
      <c r="AA323" s="29">
        <f>G323</f>
        <v>0.402</v>
      </c>
      <c r="AB323" s="29">
        <f t="shared" si="106"/>
        <v>0</v>
      </c>
      <c r="AC323" s="30"/>
      <c r="AD323" s="30">
        <f aca="true" t="shared" si="124" ref="AD323:AD333">SUM(W323:AC323)</f>
        <v>0.402</v>
      </c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>
        <f aca="true" t="shared" si="125" ref="AV323:AV333">SUM(AF323:AU323)</f>
        <v>0</v>
      </c>
    </row>
    <row r="324" spans="2:49" ht="12.75" hidden="1">
      <c r="B324" s="20" t="s">
        <v>590</v>
      </c>
      <c r="C324" s="174" t="s">
        <v>665</v>
      </c>
      <c r="D324" s="19">
        <v>0.1</v>
      </c>
      <c r="E324" s="238"/>
      <c r="F324" s="238"/>
      <c r="G324" s="166">
        <v>0.022</v>
      </c>
      <c r="H324" s="12">
        <f>D324/12</f>
        <v>0.008333333333333333</v>
      </c>
      <c r="I324" s="12">
        <f t="shared" si="123"/>
        <v>0.008333333333333333</v>
      </c>
      <c r="J324" s="12">
        <f t="shared" si="123"/>
        <v>0.008333333333333333</v>
      </c>
      <c r="K324" s="12">
        <f t="shared" si="123"/>
        <v>0.008333333333333333</v>
      </c>
      <c r="L324" s="12">
        <f t="shared" si="123"/>
        <v>0.008333333333333333</v>
      </c>
      <c r="M324" s="12">
        <f t="shared" si="123"/>
        <v>0.008333333333333333</v>
      </c>
      <c r="N324" s="12">
        <f t="shared" si="123"/>
        <v>0.008333333333333333</v>
      </c>
      <c r="O324" s="12">
        <f t="shared" si="123"/>
        <v>0.008333333333333333</v>
      </c>
      <c r="P324" s="12">
        <f t="shared" si="123"/>
        <v>0.008333333333333333</v>
      </c>
      <c r="Q324" s="12">
        <f t="shared" si="123"/>
        <v>0.008333333333333333</v>
      </c>
      <c r="R324" s="12">
        <f t="shared" si="123"/>
        <v>0.008333333333333333</v>
      </c>
      <c r="S324" s="12">
        <f t="shared" si="123"/>
        <v>0.008333333333333333</v>
      </c>
      <c r="T324" s="150">
        <f>SUM(H324:Q324)</f>
        <v>0.08333333333333333</v>
      </c>
      <c r="U324" s="151"/>
      <c r="V324" s="223"/>
      <c r="W324" s="29"/>
      <c r="X324" s="29"/>
      <c r="Y324" s="29"/>
      <c r="Z324" s="29"/>
      <c r="AA324" s="29">
        <v>0.02</v>
      </c>
      <c r="AB324" s="29">
        <f t="shared" si="106"/>
        <v>0.08</v>
      </c>
      <c r="AC324" s="30"/>
      <c r="AD324" s="30">
        <f t="shared" si="124"/>
        <v>0.1</v>
      </c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>
        <v>0.08</v>
      </c>
      <c r="AV324" s="30">
        <f t="shared" si="125"/>
        <v>0.08</v>
      </c>
      <c r="AW324" s="26" t="s">
        <v>347</v>
      </c>
    </row>
    <row r="325" spans="2:48" ht="12.75" hidden="1">
      <c r="B325" s="20"/>
      <c r="C325" s="76" t="s">
        <v>376</v>
      </c>
      <c r="D325" s="19"/>
      <c r="E325" s="238"/>
      <c r="F325" s="238"/>
      <c r="G325" s="166"/>
      <c r="H325" s="81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50">
        <f aca="true" t="shared" si="126" ref="T325:T357">SUM(H325:O325)</f>
        <v>0</v>
      </c>
      <c r="U325" s="151"/>
      <c r="V325" s="223"/>
      <c r="W325" s="29"/>
      <c r="X325" s="29"/>
      <c r="Y325" s="29"/>
      <c r="Z325" s="29"/>
      <c r="AA325" s="29"/>
      <c r="AB325" s="29">
        <f t="shared" si="106"/>
        <v>0</v>
      </c>
      <c r="AC325" s="30"/>
      <c r="AD325" s="30">
        <f t="shared" si="124"/>
        <v>0</v>
      </c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>
        <f t="shared" si="125"/>
        <v>0</v>
      </c>
    </row>
    <row r="326" spans="2:48" ht="12.75" hidden="1">
      <c r="B326" s="20" t="s">
        <v>588</v>
      </c>
      <c r="C326" s="76" t="s">
        <v>589</v>
      </c>
      <c r="D326" s="19"/>
      <c r="E326" s="238"/>
      <c r="F326" s="238"/>
      <c r="G326" s="166">
        <v>0.009</v>
      </c>
      <c r="H326" s="81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50">
        <f t="shared" si="126"/>
        <v>0</v>
      </c>
      <c r="U326" s="151"/>
      <c r="V326" s="223"/>
      <c r="W326" s="29"/>
      <c r="X326" s="29"/>
      <c r="Y326" s="29"/>
      <c r="Z326" s="29"/>
      <c r="AA326" s="29"/>
      <c r="AB326" s="29"/>
      <c r="AC326" s="30"/>
      <c r="AD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</row>
    <row r="327" spans="2:48" ht="12.75" hidden="1">
      <c r="B327" s="20" t="s">
        <v>32</v>
      </c>
      <c r="C327" s="76" t="s">
        <v>25</v>
      </c>
      <c r="D327" s="19"/>
      <c r="E327" s="238"/>
      <c r="F327" s="238"/>
      <c r="G327" s="166">
        <v>0.003</v>
      </c>
      <c r="H327" s="81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50">
        <f t="shared" si="126"/>
        <v>0</v>
      </c>
      <c r="U327" s="151"/>
      <c r="V327" s="223"/>
      <c r="W327" s="29"/>
      <c r="X327" s="29"/>
      <c r="Y327" s="29"/>
      <c r="Z327" s="29"/>
      <c r="AA327" s="29"/>
      <c r="AB327" s="29">
        <f t="shared" si="106"/>
        <v>0</v>
      </c>
      <c r="AC327" s="30"/>
      <c r="AD327" s="30">
        <f t="shared" si="124"/>
        <v>0</v>
      </c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>
        <f t="shared" si="125"/>
        <v>0</v>
      </c>
    </row>
    <row r="328" spans="2:48" ht="12.75" hidden="1">
      <c r="B328" s="20" t="s">
        <v>660</v>
      </c>
      <c r="C328" s="76" t="s">
        <v>661</v>
      </c>
      <c r="D328" s="19"/>
      <c r="E328" s="238"/>
      <c r="F328" s="238"/>
      <c r="G328" s="166">
        <v>0.017</v>
      </c>
      <c r="H328" s="81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50"/>
      <c r="U328" s="151"/>
      <c r="V328" s="223"/>
      <c r="W328" s="29"/>
      <c r="X328" s="29"/>
      <c r="Y328" s="29"/>
      <c r="Z328" s="29"/>
      <c r="AA328" s="29"/>
      <c r="AB328" s="29"/>
      <c r="AC328" s="30"/>
      <c r="AD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</row>
    <row r="329" spans="2:48" ht="12.75" hidden="1">
      <c r="B329" s="20" t="s">
        <v>33</v>
      </c>
      <c r="C329" s="76" t="s">
        <v>26</v>
      </c>
      <c r="D329" s="19"/>
      <c r="E329" s="238"/>
      <c r="F329" s="238"/>
      <c r="G329" s="166">
        <v>0.005</v>
      </c>
      <c r="H329" s="81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50">
        <f t="shared" si="126"/>
        <v>0</v>
      </c>
      <c r="U329" s="151"/>
      <c r="V329" s="223"/>
      <c r="W329" s="29"/>
      <c r="X329" s="29"/>
      <c r="Y329" s="29"/>
      <c r="Z329" s="29"/>
      <c r="AA329" s="29"/>
      <c r="AB329" s="29">
        <f t="shared" si="106"/>
        <v>0</v>
      </c>
      <c r="AC329" s="30"/>
      <c r="AD329" s="30">
        <f t="shared" si="124"/>
        <v>0</v>
      </c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>
        <f t="shared" si="125"/>
        <v>0</v>
      </c>
    </row>
    <row r="330" spans="2:48" ht="12.75" hidden="1">
      <c r="B330" s="20" t="s">
        <v>485</v>
      </c>
      <c r="C330" s="76" t="s">
        <v>486</v>
      </c>
      <c r="D330" s="19"/>
      <c r="E330" s="238"/>
      <c r="F330" s="238"/>
      <c r="G330" s="166">
        <v>0.006</v>
      </c>
      <c r="H330" s="81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50">
        <f t="shared" si="126"/>
        <v>0</v>
      </c>
      <c r="U330" s="151"/>
      <c r="V330" s="223"/>
      <c r="W330" s="29"/>
      <c r="X330" s="29"/>
      <c r="Y330" s="29"/>
      <c r="Z330" s="29"/>
      <c r="AA330" s="29"/>
      <c r="AB330" s="29"/>
      <c r="AC330" s="30"/>
      <c r="AD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</row>
    <row r="331" spans="2:48" ht="12.75" hidden="1">
      <c r="B331" s="20" t="s">
        <v>34</v>
      </c>
      <c r="C331" s="76" t="s">
        <v>27</v>
      </c>
      <c r="D331" s="19"/>
      <c r="E331" s="238"/>
      <c r="F331" s="238"/>
      <c r="G331" s="166">
        <v>0.057</v>
      </c>
      <c r="H331" s="81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50">
        <f t="shared" si="126"/>
        <v>0</v>
      </c>
      <c r="U331" s="151"/>
      <c r="V331" s="223"/>
      <c r="W331" s="29"/>
      <c r="X331" s="29"/>
      <c r="Y331" s="29"/>
      <c r="Z331" s="29"/>
      <c r="AA331" s="29"/>
      <c r="AB331" s="29">
        <f t="shared" si="106"/>
        <v>0</v>
      </c>
      <c r="AC331" s="30"/>
      <c r="AD331" s="30">
        <f t="shared" si="124"/>
        <v>0</v>
      </c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>
        <f t="shared" si="125"/>
        <v>0</v>
      </c>
    </row>
    <row r="332" spans="2:48" ht="12.75" hidden="1">
      <c r="B332" s="20" t="s">
        <v>487</v>
      </c>
      <c r="C332" s="76" t="s">
        <v>488</v>
      </c>
      <c r="D332" s="19"/>
      <c r="E332" s="238"/>
      <c r="F332" s="238"/>
      <c r="G332" s="166">
        <v>0.002</v>
      </c>
      <c r="H332" s="81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50">
        <f t="shared" si="126"/>
        <v>0</v>
      </c>
      <c r="U332" s="151"/>
      <c r="V332" s="223"/>
      <c r="W332" s="29"/>
      <c r="X332" s="29"/>
      <c r="Y332" s="29"/>
      <c r="Z332" s="29"/>
      <c r="AA332" s="29"/>
      <c r="AB332" s="29"/>
      <c r="AC332" s="30"/>
      <c r="AD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</row>
    <row r="333" spans="2:48" ht="12.75" hidden="1">
      <c r="B333" s="20" t="s">
        <v>35</v>
      </c>
      <c r="C333" s="76" t="s">
        <v>28</v>
      </c>
      <c r="D333" s="19"/>
      <c r="E333" s="238"/>
      <c r="F333" s="238"/>
      <c r="G333" s="166">
        <v>0.064</v>
      </c>
      <c r="H333" s="81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50">
        <f t="shared" si="126"/>
        <v>0</v>
      </c>
      <c r="U333" s="151"/>
      <c r="V333" s="223"/>
      <c r="W333" s="29"/>
      <c r="X333" s="29"/>
      <c r="Y333" s="29"/>
      <c r="Z333" s="29"/>
      <c r="AA333" s="29"/>
      <c r="AB333" s="29">
        <f t="shared" si="106"/>
        <v>0</v>
      </c>
      <c r="AC333" s="30"/>
      <c r="AD333" s="30">
        <f t="shared" si="124"/>
        <v>0</v>
      </c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>
        <f t="shared" si="125"/>
        <v>0</v>
      </c>
    </row>
    <row r="334" spans="2:48" ht="12.75" hidden="1">
      <c r="B334" s="20" t="s">
        <v>36</v>
      </c>
      <c r="C334" s="76" t="s">
        <v>29</v>
      </c>
      <c r="D334" s="19"/>
      <c r="E334" s="238"/>
      <c r="F334" s="238"/>
      <c r="G334" s="166">
        <v>0.005</v>
      </c>
      <c r="H334" s="81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50">
        <f t="shared" si="126"/>
        <v>0</v>
      </c>
      <c r="U334" s="151"/>
      <c r="V334" s="223"/>
      <c r="W334" s="29"/>
      <c r="X334" s="29"/>
      <c r="Y334" s="29"/>
      <c r="Z334" s="29"/>
      <c r="AA334" s="29"/>
      <c r="AB334" s="29">
        <f t="shared" si="106"/>
        <v>0</v>
      </c>
      <c r="AC334" s="30"/>
      <c r="AD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</row>
    <row r="335" spans="2:48" ht="12.75" hidden="1">
      <c r="B335" s="20" t="s">
        <v>37</v>
      </c>
      <c r="C335" s="76" t="s">
        <v>30</v>
      </c>
      <c r="D335" s="19"/>
      <c r="E335" s="238"/>
      <c r="F335" s="238"/>
      <c r="G335" s="166">
        <v>0.001</v>
      </c>
      <c r="H335" s="81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50">
        <f t="shared" si="126"/>
        <v>0</v>
      </c>
      <c r="U335" s="151"/>
      <c r="V335" s="223"/>
      <c r="W335" s="29"/>
      <c r="X335" s="29"/>
      <c r="Y335" s="29"/>
      <c r="Z335" s="29"/>
      <c r="AA335" s="29"/>
      <c r="AB335" s="29">
        <f t="shared" si="106"/>
        <v>0</v>
      </c>
      <c r="AC335" s="30"/>
      <c r="AD335" s="30">
        <f>SUM(W335:AC335)</f>
        <v>0</v>
      </c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>
        <f>SUM(AF335:AU335)</f>
        <v>0</v>
      </c>
    </row>
    <row r="336" spans="2:48" ht="12.75" hidden="1">
      <c r="B336" s="20" t="s">
        <v>38</v>
      </c>
      <c r="C336" s="76" t="s">
        <v>31</v>
      </c>
      <c r="D336" s="19"/>
      <c r="E336" s="238"/>
      <c r="F336" s="238"/>
      <c r="G336" s="166">
        <v>0.024</v>
      </c>
      <c r="H336" s="81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50">
        <f t="shared" si="126"/>
        <v>0</v>
      </c>
      <c r="U336" s="151"/>
      <c r="V336" s="223"/>
      <c r="W336" s="29"/>
      <c r="X336" s="29"/>
      <c r="Y336" s="29"/>
      <c r="Z336" s="29"/>
      <c r="AA336" s="29"/>
      <c r="AB336" s="29">
        <f t="shared" si="106"/>
        <v>0</v>
      </c>
      <c r="AC336" s="30"/>
      <c r="AD336" s="30">
        <f>SUM(W336:AC336)</f>
        <v>0</v>
      </c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>
        <f>SUM(AF336:AU336)</f>
        <v>0</v>
      </c>
    </row>
    <row r="337" spans="2:48" ht="12.75" hidden="1">
      <c r="B337" s="20" t="s">
        <v>576</v>
      </c>
      <c r="C337" s="76" t="s">
        <v>577</v>
      </c>
      <c r="D337" s="19"/>
      <c r="E337" s="238"/>
      <c r="F337" s="238"/>
      <c r="G337" s="166">
        <v>0.001</v>
      </c>
      <c r="H337" s="81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50">
        <f t="shared" si="126"/>
        <v>0</v>
      </c>
      <c r="U337" s="151"/>
      <c r="V337" s="223"/>
      <c r="W337" s="29"/>
      <c r="X337" s="29"/>
      <c r="Y337" s="29"/>
      <c r="Z337" s="29"/>
      <c r="AA337" s="29"/>
      <c r="AB337" s="29">
        <f t="shared" si="106"/>
        <v>0</v>
      </c>
      <c r="AC337" s="30"/>
      <c r="AD337" s="30">
        <f>SUM(W337:AC337)</f>
        <v>0</v>
      </c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>
        <f>SUM(AF337:AU337)</f>
        <v>0</v>
      </c>
    </row>
    <row r="338" spans="2:48" ht="12.75" hidden="1">
      <c r="B338" s="20"/>
      <c r="C338" s="76"/>
      <c r="D338" s="19"/>
      <c r="E338" s="238"/>
      <c r="F338" s="238"/>
      <c r="G338" s="166"/>
      <c r="H338" s="81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50">
        <f t="shared" si="126"/>
        <v>0</v>
      </c>
      <c r="U338" s="151"/>
      <c r="V338" s="223"/>
      <c r="W338" s="29"/>
      <c r="X338" s="29"/>
      <c r="Y338" s="29"/>
      <c r="Z338" s="29"/>
      <c r="AA338" s="29"/>
      <c r="AB338" s="29">
        <f t="shared" si="106"/>
        <v>0</v>
      </c>
      <c r="AC338" s="30"/>
      <c r="AD338" s="30">
        <f>SUM(W338:AC338)</f>
        <v>0</v>
      </c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>
        <f>SUM(AF338:AU338)</f>
        <v>0</v>
      </c>
    </row>
    <row r="339" spans="2:48" ht="12.75" hidden="1">
      <c r="B339" s="20"/>
      <c r="C339" s="76"/>
      <c r="D339" s="19"/>
      <c r="E339" s="238"/>
      <c r="F339" s="238"/>
      <c r="G339" s="166"/>
      <c r="H339" s="81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50">
        <f t="shared" si="126"/>
        <v>0</v>
      </c>
      <c r="U339" s="151"/>
      <c r="V339" s="223"/>
      <c r="W339" s="29"/>
      <c r="X339" s="29"/>
      <c r="Y339" s="29"/>
      <c r="Z339" s="29"/>
      <c r="AA339" s="29"/>
      <c r="AB339" s="29">
        <f aca="true" t="shared" si="127" ref="AB339:AB348">SUM(AF339:AU339)</f>
        <v>0</v>
      </c>
      <c r="AC339" s="30"/>
      <c r="AD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</row>
    <row r="340" spans="1:48" ht="12.75" hidden="1">
      <c r="A340" s="26">
        <f>-AF387</f>
        <v>0</v>
      </c>
      <c r="B340" s="20"/>
      <c r="C340" s="76"/>
      <c r="D340" s="19"/>
      <c r="E340" s="238"/>
      <c r="F340" s="238"/>
      <c r="G340" s="166"/>
      <c r="H340" s="81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50">
        <f t="shared" si="126"/>
        <v>0</v>
      </c>
      <c r="U340" s="151"/>
      <c r="V340" s="223"/>
      <c r="W340" s="29"/>
      <c r="X340" s="29"/>
      <c r="Y340" s="29"/>
      <c r="Z340" s="29"/>
      <c r="AA340" s="29"/>
      <c r="AB340" s="29">
        <f t="shared" si="127"/>
        <v>0</v>
      </c>
      <c r="AC340" s="30"/>
      <c r="AD340" s="30">
        <f>SUM(W340:AC340)</f>
        <v>0</v>
      </c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>
        <f>SUM(AF340:AU340)</f>
        <v>0</v>
      </c>
    </row>
    <row r="341" spans="2:48" ht="12.75" hidden="1">
      <c r="B341" s="20"/>
      <c r="C341" s="76"/>
      <c r="D341" s="19"/>
      <c r="E341" s="238"/>
      <c r="F341" s="238"/>
      <c r="G341" s="166"/>
      <c r="H341" s="81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50">
        <f t="shared" si="126"/>
        <v>0</v>
      </c>
      <c r="U341" s="151"/>
      <c r="V341" s="223"/>
      <c r="W341" s="29"/>
      <c r="X341" s="29"/>
      <c r="Y341" s="29"/>
      <c r="Z341" s="29"/>
      <c r="AA341" s="29"/>
      <c r="AB341" s="29">
        <f t="shared" si="127"/>
        <v>0</v>
      </c>
      <c r="AC341" s="30"/>
      <c r="AD341" s="30">
        <f>SUM(W341:AC341)</f>
        <v>0</v>
      </c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>
        <f>SUM(AF341:AU341)</f>
        <v>0</v>
      </c>
    </row>
    <row r="342" spans="2:48" ht="12.75" hidden="1">
      <c r="B342" s="20"/>
      <c r="C342" s="76"/>
      <c r="D342" s="19"/>
      <c r="E342" s="238"/>
      <c r="F342" s="238"/>
      <c r="G342" s="166"/>
      <c r="H342" s="81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50">
        <f t="shared" si="126"/>
        <v>0</v>
      </c>
      <c r="U342" s="151"/>
      <c r="V342" s="223"/>
      <c r="W342" s="29"/>
      <c r="X342" s="29"/>
      <c r="Y342" s="29"/>
      <c r="Z342" s="29"/>
      <c r="AA342" s="29"/>
      <c r="AB342" s="29">
        <f t="shared" si="127"/>
        <v>0</v>
      </c>
      <c r="AC342" s="30"/>
      <c r="AD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</row>
    <row r="343" spans="2:48" ht="12.75" hidden="1">
      <c r="B343" s="20"/>
      <c r="C343" s="76"/>
      <c r="D343" s="19"/>
      <c r="E343" s="238"/>
      <c r="F343" s="238"/>
      <c r="G343" s="166"/>
      <c r="H343" s="81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50">
        <f t="shared" si="126"/>
        <v>0</v>
      </c>
      <c r="U343" s="151"/>
      <c r="V343" s="223"/>
      <c r="W343" s="29"/>
      <c r="X343" s="29"/>
      <c r="Y343" s="29"/>
      <c r="Z343" s="29"/>
      <c r="AA343" s="29"/>
      <c r="AB343" s="29">
        <f t="shared" si="127"/>
        <v>0</v>
      </c>
      <c r="AC343" s="30"/>
      <c r="AD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</row>
    <row r="344" spans="1:48" ht="12.75">
      <c r="A344" s="26" t="s">
        <v>254</v>
      </c>
      <c r="B344" s="20"/>
      <c r="C344" s="131" t="s">
        <v>206</v>
      </c>
      <c r="D344" s="19">
        <f>G344</f>
        <v>0.194</v>
      </c>
      <c r="E344" s="238"/>
      <c r="F344" s="238"/>
      <c r="G344" s="166">
        <f>SUM(G325:G343)</f>
        <v>0.194</v>
      </c>
      <c r="H344" s="81">
        <f>G344</f>
        <v>0.194</v>
      </c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50">
        <f>SUM(H344:Q344)</f>
        <v>0.194</v>
      </c>
      <c r="U344" s="151"/>
      <c r="V344" s="223"/>
      <c r="W344" s="29"/>
      <c r="X344" s="29"/>
      <c r="Y344" s="29"/>
      <c r="Z344" s="29"/>
      <c r="AA344" s="29">
        <f>G344</f>
        <v>0.194</v>
      </c>
      <c r="AB344" s="29">
        <f t="shared" si="127"/>
        <v>0</v>
      </c>
      <c r="AC344" s="30"/>
      <c r="AD344" s="30">
        <f aca="true" t="shared" si="128" ref="AD344:AD371">SUM(W344:AC344)</f>
        <v>0.194</v>
      </c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>
        <f>SUM(AF344:AU344)</f>
        <v>0</v>
      </c>
    </row>
    <row r="345" spans="2:48" ht="12.75">
      <c r="B345" s="26" t="s">
        <v>578</v>
      </c>
      <c r="C345" s="44" t="s">
        <v>463</v>
      </c>
      <c r="D345" s="166">
        <v>0.735</v>
      </c>
      <c r="E345" s="140"/>
      <c r="F345" s="140"/>
      <c r="G345" s="167">
        <v>0.699</v>
      </c>
      <c r="H345" s="81"/>
      <c r="I345" s="12"/>
      <c r="J345" s="12"/>
      <c r="K345" s="12">
        <v>0.685</v>
      </c>
      <c r="L345" s="12"/>
      <c r="M345" s="12">
        <v>0.05</v>
      </c>
      <c r="N345" s="12"/>
      <c r="O345" s="12"/>
      <c r="P345" s="12"/>
      <c r="Q345" s="12"/>
      <c r="R345" s="12"/>
      <c r="S345" s="12"/>
      <c r="T345" s="150">
        <f t="shared" si="126"/>
        <v>0.7350000000000001</v>
      </c>
      <c r="U345" s="151"/>
      <c r="V345" s="223">
        <v>38509</v>
      </c>
      <c r="W345" s="29"/>
      <c r="X345" s="29"/>
      <c r="Y345" s="29"/>
      <c r="Z345" s="29"/>
      <c r="AA345" s="29">
        <v>0.735</v>
      </c>
      <c r="AB345" s="29">
        <f t="shared" si="127"/>
        <v>0</v>
      </c>
      <c r="AC345" s="30"/>
      <c r="AD345" s="30">
        <f t="shared" si="128"/>
        <v>0.735</v>
      </c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</row>
    <row r="346" spans="3:48" ht="12.75">
      <c r="C346" s="44" t="s">
        <v>462</v>
      </c>
      <c r="D346" s="166">
        <f>0.4-0.3</f>
        <v>0.10000000000000003</v>
      </c>
      <c r="E346" s="140"/>
      <c r="F346" s="140"/>
      <c r="G346" s="167">
        <v>0.007</v>
      </c>
      <c r="H346" s="12">
        <f>D346/12</f>
        <v>0.008333333333333337</v>
      </c>
      <c r="I346" s="12">
        <f aca="true" t="shared" si="129" ref="I346:S348">H346</f>
        <v>0.008333333333333337</v>
      </c>
      <c r="J346" s="12">
        <f t="shared" si="129"/>
        <v>0.008333333333333337</v>
      </c>
      <c r="K346" s="12">
        <f t="shared" si="129"/>
        <v>0.008333333333333337</v>
      </c>
      <c r="L346" s="12">
        <f t="shared" si="129"/>
        <v>0.008333333333333337</v>
      </c>
      <c r="M346" s="12">
        <f t="shared" si="129"/>
        <v>0.008333333333333337</v>
      </c>
      <c r="N346" s="12">
        <f t="shared" si="129"/>
        <v>0.008333333333333337</v>
      </c>
      <c r="O346" s="12">
        <f t="shared" si="129"/>
        <v>0.008333333333333337</v>
      </c>
      <c r="P346" s="12">
        <f t="shared" si="129"/>
        <v>0.008333333333333337</v>
      </c>
      <c r="Q346" s="12">
        <f t="shared" si="129"/>
        <v>0.008333333333333337</v>
      </c>
      <c r="R346" s="12">
        <f t="shared" si="129"/>
        <v>0.008333333333333337</v>
      </c>
      <c r="S346" s="12">
        <f t="shared" si="129"/>
        <v>0.008333333333333337</v>
      </c>
      <c r="T346" s="150">
        <f t="shared" si="126"/>
        <v>0.0666666666666667</v>
      </c>
      <c r="U346" s="151"/>
      <c r="V346" s="223"/>
      <c r="W346" s="29"/>
      <c r="X346" s="29"/>
      <c r="Y346" s="29"/>
      <c r="Z346" s="29"/>
      <c r="AA346" s="29">
        <f>0.4-0.3</f>
        <v>0.10000000000000003</v>
      </c>
      <c r="AB346" s="29">
        <f t="shared" si="127"/>
        <v>0</v>
      </c>
      <c r="AC346" s="30"/>
      <c r="AD346" s="30">
        <f t="shared" si="128"/>
        <v>0.10000000000000003</v>
      </c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</row>
    <row r="347" spans="3:48" ht="12.75">
      <c r="C347" s="44" t="s">
        <v>465</v>
      </c>
      <c r="D347" s="166">
        <v>0.058</v>
      </c>
      <c r="E347" s="140"/>
      <c r="F347" s="140"/>
      <c r="G347" s="167">
        <v>0.057</v>
      </c>
      <c r="H347" s="12">
        <f>D347/12</f>
        <v>0.004833333333333334</v>
      </c>
      <c r="I347" s="12">
        <f t="shared" si="129"/>
        <v>0.004833333333333334</v>
      </c>
      <c r="J347" s="12">
        <f t="shared" si="129"/>
        <v>0.004833333333333334</v>
      </c>
      <c r="K347" s="12">
        <f t="shared" si="129"/>
        <v>0.004833333333333334</v>
      </c>
      <c r="L347" s="12">
        <f t="shared" si="129"/>
        <v>0.004833333333333334</v>
      </c>
      <c r="M347" s="12">
        <f t="shared" si="129"/>
        <v>0.004833333333333334</v>
      </c>
      <c r="N347" s="12">
        <f t="shared" si="129"/>
        <v>0.004833333333333334</v>
      </c>
      <c r="O347" s="12">
        <f t="shared" si="129"/>
        <v>0.004833333333333334</v>
      </c>
      <c r="P347" s="12">
        <f t="shared" si="129"/>
        <v>0.004833333333333334</v>
      </c>
      <c r="Q347" s="12">
        <f t="shared" si="129"/>
        <v>0.004833333333333334</v>
      </c>
      <c r="R347" s="12">
        <f t="shared" si="129"/>
        <v>0.004833333333333334</v>
      </c>
      <c r="S347" s="12">
        <f t="shared" si="129"/>
        <v>0.004833333333333334</v>
      </c>
      <c r="T347" s="150">
        <f t="shared" si="126"/>
        <v>0.038666666666666676</v>
      </c>
      <c r="U347" s="151"/>
      <c r="V347" s="223"/>
      <c r="W347" s="29"/>
      <c r="X347" s="29"/>
      <c r="Y347" s="29"/>
      <c r="Z347" s="158"/>
      <c r="AA347" s="29">
        <v>0.058</v>
      </c>
      <c r="AB347" s="29">
        <f t="shared" si="127"/>
        <v>0</v>
      </c>
      <c r="AC347" s="30"/>
      <c r="AD347" s="30">
        <f t="shared" si="128"/>
        <v>0.058</v>
      </c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</row>
    <row r="348" spans="2:48" ht="12.75">
      <c r="B348" s="26" t="s">
        <v>619</v>
      </c>
      <c r="C348" s="44" t="s">
        <v>112</v>
      </c>
      <c r="D348" s="166"/>
      <c r="E348" s="140"/>
      <c r="F348" s="140"/>
      <c r="G348" s="167">
        <v>0.079</v>
      </c>
      <c r="H348" s="12">
        <f>D348/12</f>
        <v>0</v>
      </c>
      <c r="I348" s="12">
        <f t="shared" si="129"/>
        <v>0</v>
      </c>
      <c r="J348" s="12">
        <f t="shared" si="129"/>
        <v>0</v>
      </c>
      <c r="K348" s="12">
        <f t="shared" si="129"/>
        <v>0</v>
      </c>
      <c r="L348" s="12">
        <f t="shared" si="129"/>
        <v>0</v>
      </c>
      <c r="M348" s="12">
        <f t="shared" si="129"/>
        <v>0</v>
      </c>
      <c r="N348" s="12">
        <f t="shared" si="129"/>
        <v>0</v>
      </c>
      <c r="O348" s="12">
        <f t="shared" si="129"/>
        <v>0</v>
      </c>
      <c r="P348" s="12">
        <f t="shared" si="129"/>
        <v>0</v>
      </c>
      <c r="Q348" s="12">
        <f t="shared" si="129"/>
        <v>0</v>
      </c>
      <c r="R348" s="12">
        <f t="shared" si="129"/>
        <v>0</v>
      </c>
      <c r="S348" s="12">
        <f t="shared" si="129"/>
        <v>0</v>
      </c>
      <c r="T348" s="150">
        <f t="shared" si="126"/>
        <v>0</v>
      </c>
      <c r="U348" s="151"/>
      <c r="V348" s="223"/>
      <c r="W348" s="29"/>
      <c r="X348" s="29"/>
      <c r="Y348" s="29"/>
      <c r="Z348" s="158"/>
      <c r="AA348" s="29"/>
      <c r="AB348" s="29">
        <f t="shared" si="127"/>
        <v>0</v>
      </c>
      <c r="AC348" s="30"/>
      <c r="AD348" s="30">
        <f t="shared" si="128"/>
        <v>0</v>
      </c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</row>
    <row r="349" spans="3:48" ht="12.75">
      <c r="C349" s="175" t="s">
        <v>413</v>
      </c>
      <c r="D349" s="179">
        <v>0.069</v>
      </c>
      <c r="E349" s="140"/>
      <c r="F349" s="140"/>
      <c r="G349" s="167"/>
      <c r="H349" s="81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7">
        <v>0.069</v>
      </c>
      <c r="T349" s="150">
        <f t="shared" si="126"/>
        <v>0</v>
      </c>
      <c r="U349" s="151"/>
      <c r="V349" s="223"/>
      <c r="W349" s="29"/>
      <c r="X349" s="29"/>
      <c r="Y349" s="29"/>
      <c r="Z349" s="158"/>
      <c r="AA349" s="29">
        <v>0.006</v>
      </c>
      <c r="AB349" s="276">
        <f aca="true" t="shared" si="130" ref="AB349:AB371">SUM(AF349:AU349)</f>
        <v>0.063</v>
      </c>
      <c r="AC349" s="30"/>
      <c r="AD349" s="30">
        <f t="shared" si="128"/>
        <v>0.069</v>
      </c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>
        <f>0.052+0.011</f>
        <v>0.063</v>
      </c>
      <c r="AV349" s="30">
        <f aca="true" t="shared" si="131" ref="AV349:AV380">SUM(AF349:AU349)</f>
        <v>0.063</v>
      </c>
    </row>
    <row r="350" spans="3:48" ht="12.75">
      <c r="C350" s="175" t="s">
        <v>414</v>
      </c>
      <c r="D350" s="179">
        <v>0.026</v>
      </c>
      <c r="E350" s="140"/>
      <c r="F350" s="140"/>
      <c r="G350" s="167"/>
      <c r="H350" s="81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7">
        <v>0.026</v>
      </c>
      <c r="T350" s="150">
        <f t="shared" si="126"/>
        <v>0</v>
      </c>
      <c r="U350" s="151"/>
      <c r="V350" s="223"/>
      <c r="W350" s="29"/>
      <c r="X350" s="29"/>
      <c r="Y350" s="29"/>
      <c r="Z350" s="158"/>
      <c r="AA350" s="29">
        <f>0.1-0.1</f>
        <v>0</v>
      </c>
      <c r="AB350" s="276">
        <f t="shared" si="130"/>
        <v>0.026</v>
      </c>
      <c r="AC350" s="30"/>
      <c r="AD350" s="30">
        <f t="shared" si="128"/>
        <v>0.026</v>
      </c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>
        <v>0.026</v>
      </c>
      <c r="AS350" s="30"/>
      <c r="AT350" s="30"/>
      <c r="AU350" s="30"/>
      <c r="AV350" s="30">
        <f t="shared" si="131"/>
        <v>0.026</v>
      </c>
    </row>
    <row r="351" spans="3:49" ht="12.75">
      <c r="C351" s="175" t="s">
        <v>620</v>
      </c>
      <c r="D351" s="179">
        <v>0.009</v>
      </c>
      <c r="E351" s="140"/>
      <c r="F351" s="140"/>
      <c r="G351" s="167"/>
      <c r="H351" s="81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7">
        <v>0.009</v>
      </c>
      <c r="T351" s="150">
        <f t="shared" si="126"/>
        <v>0</v>
      </c>
      <c r="U351" s="151"/>
      <c r="V351" s="223"/>
      <c r="W351" s="29"/>
      <c r="X351" s="29"/>
      <c r="Y351" s="29"/>
      <c r="Z351" s="158"/>
      <c r="AA351" s="29">
        <f>0.1-0.1</f>
        <v>0</v>
      </c>
      <c r="AB351" s="276">
        <f t="shared" si="130"/>
        <v>0</v>
      </c>
      <c r="AC351" s="30">
        <v>0.009</v>
      </c>
      <c r="AD351" s="30">
        <f t="shared" si="128"/>
        <v>0.009</v>
      </c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>
        <f t="shared" si="131"/>
        <v>0</v>
      </c>
      <c r="AW351" s="26" t="s">
        <v>429</v>
      </c>
    </row>
    <row r="352" spans="3:48" ht="12.75">
      <c r="C352" s="175" t="s">
        <v>415</v>
      </c>
      <c r="D352" s="179">
        <v>0.004</v>
      </c>
      <c r="E352" s="140"/>
      <c r="F352" s="140"/>
      <c r="G352" s="167"/>
      <c r="H352" s="81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7">
        <v>0.004</v>
      </c>
      <c r="T352" s="150">
        <f t="shared" si="126"/>
        <v>0</v>
      </c>
      <c r="U352" s="151"/>
      <c r="V352" s="223"/>
      <c r="W352" s="29"/>
      <c r="X352" s="29"/>
      <c r="Y352" s="29"/>
      <c r="Z352" s="158"/>
      <c r="AA352" s="277">
        <v>0.004</v>
      </c>
      <c r="AB352" s="276">
        <f t="shared" si="130"/>
        <v>0</v>
      </c>
      <c r="AC352" s="30"/>
      <c r="AD352" s="30">
        <f t="shared" si="128"/>
        <v>0.004</v>
      </c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>
        <f t="shared" si="131"/>
        <v>0</v>
      </c>
    </row>
    <row r="353" spans="3:48" ht="12.75">
      <c r="C353" s="190" t="s">
        <v>416</v>
      </c>
      <c r="D353" s="179">
        <v>0.01</v>
      </c>
      <c r="E353" s="140"/>
      <c r="F353" s="140"/>
      <c r="G353" s="167"/>
      <c r="H353" s="81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7">
        <v>0.01</v>
      </c>
      <c r="T353" s="150">
        <f t="shared" si="126"/>
        <v>0</v>
      </c>
      <c r="U353" s="151"/>
      <c r="V353" s="223"/>
      <c r="W353" s="29"/>
      <c r="X353" s="29"/>
      <c r="Y353" s="29"/>
      <c r="Z353" s="158"/>
      <c r="AA353" s="277">
        <v>0.01</v>
      </c>
      <c r="AB353" s="276">
        <f t="shared" si="130"/>
        <v>0</v>
      </c>
      <c r="AC353" s="30"/>
      <c r="AD353" s="30">
        <f t="shared" si="128"/>
        <v>0.01</v>
      </c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>
        <f t="shared" si="131"/>
        <v>0</v>
      </c>
    </row>
    <row r="354" spans="3:48" ht="12.75">
      <c r="C354" s="190" t="s">
        <v>417</v>
      </c>
      <c r="D354" s="179">
        <v>0.075</v>
      </c>
      <c r="E354" s="140"/>
      <c r="F354" s="140"/>
      <c r="G354" s="167"/>
      <c r="H354" s="81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7">
        <v>0.075</v>
      </c>
      <c r="T354" s="150">
        <f t="shared" si="126"/>
        <v>0</v>
      </c>
      <c r="U354" s="151"/>
      <c r="V354" s="223"/>
      <c r="W354" s="29"/>
      <c r="X354" s="29"/>
      <c r="Y354" s="29"/>
      <c r="Z354" s="158"/>
      <c r="AA354" s="277">
        <v>0.075</v>
      </c>
      <c r="AB354" s="276">
        <f t="shared" si="130"/>
        <v>0</v>
      </c>
      <c r="AC354" s="30"/>
      <c r="AD354" s="30">
        <f t="shared" si="128"/>
        <v>0.075</v>
      </c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>
        <f t="shared" si="131"/>
        <v>0</v>
      </c>
    </row>
    <row r="355" spans="2:49" ht="12.75">
      <c r="B355" s="26" t="s">
        <v>483</v>
      </c>
      <c r="C355" s="175" t="s">
        <v>418</v>
      </c>
      <c r="D355" s="179">
        <f>0.018+0.032+0.097+0.001</f>
        <v>0.14800000000000002</v>
      </c>
      <c r="E355" s="140"/>
      <c r="F355" s="140"/>
      <c r="G355" s="167">
        <v>0.065</v>
      </c>
      <c r="H355" s="12">
        <f>D355/12</f>
        <v>0.012333333333333335</v>
      </c>
      <c r="I355" s="12">
        <f aca="true" t="shared" si="132" ref="I355:S355">H355</f>
        <v>0.012333333333333335</v>
      </c>
      <c r="J355" s="12">
        <f t="shared" si="132"/>
        <v>0.012333333333333335</v>
      </c>
      <c r="K355" s="12">
        <f t="shared" si="132"/>
        <v>0.012333333333333335</v>
      </c>
      <c r="L355" s="12">
        <f t="shared" si="132"/>
        <v>0.012333333333333335</v>
      </c>
      <c r="M355" s="12">
        <f t="shared" si="132"/>
        <v>0.012333333333333335</v>
      </c>
      <c r="N355" s="12">
        <f t="shared" si="132"/>
        <v>0.012333333333333335</v>
      </c>
      <c r="O355" s="12">
        <f t="shared" si="132"/>
        <v>0.012333333333333335</v>
      </c>
      <c r="P355" s="12">
        <f t="shared" si="132"/>
        <v>0.012333333333333335</v>
      </c>
      <c r="Q355" s="12">
        <f t="shared" si="132"/>
        <v>0.012333333333333335</v>
      </c>
      <c r="R355" s="12">
        <f t="shared" si="132"/>
        <v>0.012333333333333335</v>
      </c>
      <c r="S355" s="12">
        <f t="shared" si="132"/>
        <v>0.012333333333333335</v>
      </c>
      <c r="T355" s="150">
        <f t="shared" si="126"/>
        <v>0.09866666666666668</v>
      </c>
      <c r="U355" s="151"/>
      <c r="V355" s="223"/>
      <c r="W355" s="29"/>
      <c r="X355" s="29"/>
      <c r="Y355" s="29"/>
      <c r="Z355" s="158">
        <f>0.004+0.005</f>
        <v>0.009000000000000001</v>
      </c>
      <c r="AA355" s="277">
        <f>0.014+0.028+0.097</f>
        <v>0.139</v>
      </c>
      <c r="AB355" s="276">
        <f t="shared" si="130"/>
        <v>0</v>
      </c>
      <c r="AC355" s="30"/>
      <c r="AD355" s="30">
        <f t="shared" si="128"/>
        <v>0.14800000000000002</v>
      </c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>
        <f t="shared" si="131"/>
        <v>0</v>
      </c>
      <c r="AW355" s="26" t="s">
        <v>569</v>
      </c>
    </row>
    <row r="356" spans="3:48" ht="12.75">
      <c r="C356" s="175" t="s">
        <v>326</v>
      </c>
      <c r="D356" s="179">
        <v>0.001</v>
      </c>
      <c r="E356" s="140"/>
      <c r="F356" s="140"/>
      <c r="G356" s="167">
        <v>0.001</v>
      </c>
      <c r="H356" s="81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>
        <v>0.001</v>
      </c>
      <c r="T356" s="150">
        <f t="shared" si="126"/>
        <v>0</v>
      </c>
      <c r="U356" s="151"/>
      <c r="V356" s="223"/>
      <c r="W356" s="29"/>
      <c r="X356" s="29"/>
      <c r="Y356" s="29"/>
      <c r="Z356" s="158"/>
      <c r="AA356" s="277">
        <v>0.001</v>
      </c>
      <c r="AB356" s="276">
        <f t="shared" si="130"/>
        <v>0</v>
      </c>
      <c r="AC356" s="30"/>
      <c r="AD356" s="30">
        <f t="shared" si="128"/>
        <v>0.001</v>
      </c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>
        <f t="shared" si="131"/>
        <v>0</v>
      </c>
    </row>
    <row r="357" spans="1:48" ht="12.75">
      <c r="A357" s="26" t="s">
        <v>472</v>
      </c>
      <c r="B357" s="287" t="s">
        <v>473</v>
      </c>
      <c r="C357" s="289" t="s">
        <v>469</v>
      </c>
      <c r="D357" s="179">
        <f>SUM(AA358:AA367)</f>
        <v>1.5279999999999998</v>
      </c>
      <c r="E357" s="140"/>
      <c r="F357" s="140"/>
      <c r="G357" s="167">
        <v>0.002</v>
      </c>
      <c r="H357" s="81"/>
      <c r="I357" s="12"/>
      <c r="J357" s="12"/>
      <c r="K357" s="12"/>
      <c r="L357" s="12"/>
      <c r="M357" s="12"/>
      <c r="N357" s="12"/>
      <c r="O357" s="12">
        <v>0.185</v>
      </c>
      <c r="P357" s="12">
        <v>0.185</v>
      </c>
      <c r="Q357" s="12">
        <v>0.371</v>
      </c>
      <c r="R357" s="12">
        <v>0.371</v>
      </c>
      <c r="S357" s="12">
        <v>0.416</v>
      </c>
      <c r="T357" s="150">
        <f t="shared" si="126"/>
        <v>0.185</v>
      </c>
      <c r="U357" s="151"/>
      <c r="V357" s="223"/>
      <c r="W357" s="29"/>
      <c r="X357" s="29"/>
      <c r="Y357" s="29"/>
      <c r="Z357" s="158"/>
      <c r="AA357" s="277"/>
      <c r="AB357" s="276">
        <f t="shared" si="130"/>
        <v>0</v>
      </c>
      <c r="AC357" s="30"/>
      <c r="AD357" s="30">
        <f t="shared" si="128"/>
        <v>0</v>
      </c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>
        <f t="shared" si="131"/>
        <v>0</v>
      </c>
    </row>
    <row r="358" spans="3:48" ht="12.75">
      <c r="C358" s="44" t="s">
        <v>680</v>
      </c>
      <c r="D358" s="166"/>
      <c r="E358" s="140"/>
      <c r="F358" s="140"/>
      <c r="G358" s="167"/>
      <c r="H358" s="81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50"/>
      <c r="U358" s="151"/>
      <c r="V358" s="223"/>
      <c r="W358" s="29"/>
      <c r="X358" s="29"/>
      <c r="Y358" s="29"/>
      <c r="Z358" s="158"/>
      <c r="AA358" s="290">
        <v>0.65</v>
      </c>
      <c r="AB358" s="276">
        <f t="shared" si="130"/>
        <v>0</v>
      </c>
      <c r="AC358" s="30"/>
      <c r="AD358" s="30">
        <f t="shared" si="128"/>
        <v>0.65</v>
      </c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>
        <f t="shared" si="131"/>
        <v>0</v>
      </c>
    </row>
    <row r="359" spans="2:48" ht="12" customHeight="1">
      <c r="B359" s="26" t="s">
        <v>361</v>
      </c>
      <c r="C359" s="44" t="s">
        <v>601</v>
      </c>
      <c r="D359" s="9"/>
      <c r="E359" s="140"/>
      <c r="F359" s="140"/>
      <c r="G359" s="167">
        <v>0.19</v>
      </c>
      <c r="H359" s="12">
        <f>D359/12</f>
        <v>0</v>
      </c>
      <c r="I359" s="12">
        <f>H359</f>
        <v>0</v>
      </c>
      <c r="J359" s="12">
        <f aca="true" t="shared" si="133" ref="J359:S359">I359</f>
        <v>0</v>
      </c>
      <c r="K359" s="12">
        <f t="shared" si="133"/>
        <v>0</v>
      </c>
      <c r="L359" s="12">
        <f t="shared" si="133"/>
        <v>0</v>
      </c>
      <c r="M359" s="12">
        <f t="shared" si="133"/>
        <v>0</v>
      </c>
      <c r="N359" s="12">
        <f t="shared" si="133"/>
        <v>0</v>
      </c>
      <c r="O359" s="12">
        <f t="shared" si="133"/>
        <v>0</v>
      </c>
      <c r="P359" s="12">
        <f t="shared" si="133"/>
        <v>0</v>
      </c>
      <c r="Q359" s="12">
        <f t="shared" si="133"/>
        <v>0</v>
      </c>
      <c r="R359" s="12">
        <f t="shared" si="133"/>
        <v>0</v>
      </c>
      <c r="S359" s="12">
        <f t="shared" si="133"/>
        <v>0</v>
      </c>
      <c r="T359" s="150">
        <f>SUM(H359:Q359)</f>
        <v>0</v>
      </c>
      <c r="U359" s="151"/>
      <c r="V359" s="223"/>
      <c r="W359" s="29"/>
      <c r="X359" s="29"/>
      <c r="Y359" s="29"/>
      <c r="Z359" s="158"/>
      <c r="AA359" s="290">
        <f>0.03+0.014</f>
        <v>0.044</v>
      </c>
      <c r="AB359" s="276">
        <f>SUM(AF359:AU359)</f>
        <v>0</v>
      </c>
      <c r="AC359" s="30"/>
      <c r="AD359" s="30">
        <f t="shared" si="128"/>
        <v>0.044</v>
      </c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>
        <f>SUM(AF359:AU359)</f>
        <v>0</v>
      </c>
    </row>
    <row r="360" spans="2:48" ht="12.75">
      <c r="B360" s="26" t="s">
        <v>361</v>
      </c>
      <c r="C360" s="44" t="s">
        <v>505</v>
      </c>
      <c r="D360" s="166"/>
      <c r="E360" s="140"/>
      <c r="F360" s="140"/>
      <c r="G360" s="167">
        <v>0.113</v>
      </c>
      <c r="H360" s="81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50"/>
      <c r="U360" s="151"/>
      <c r="V360" s="223"/>
      <c r="W360" s="29"/>
      <c r="X360" s="29"/>
      <c r="Y360" s="29"/>
      <c r="Z360" s="158"/>
      <c r="AA360" s="290">
        <v>0.208</v>
      </c>
      <c r="AB360" s="276">
        <f aca="true" t="shared" si="134" ref="AB360:AB368">SUM(AF360:AU360)</f>
        <v>0</v>
      </c>
      <c r="AC360" s="30"/>
      <c r="AD360" s="30">
        <f t="shared" si="128"/>
        <v>0.208</v>
      </c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</row>
    <row r="361" spans="2:48" ht="12.75">
      <c r="B361" s="26" t="s">
        <v>472</v>
      </c>
      <c r="C361" s="44" t="s">
        <v>470</v>
      </c>
      <c r="D361" s="166"/>
      <c r="E361" s="140"/>
      <c r="F361" s="140"/>
      <c r="G361" s="167"/>
      <c r="H361" s="81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50"/>
      <c r="U361" s="151"/>
      <c r="V361" s="223"/>
      <c r="W361" s="29"/>
      <c r="X361" s="29"/>
      <c r="Y361" s="29"/>
      <c r="Z361" s="158"/>
      <c r="AA361" s="290">
        <v>0.019</v>
      </c>
      <c r="AB361" s="276">
        <f t="shared" si="134"/>
        <v>0</v>
      </c>
      <c r="AC361" s="30"/>
      <c r="AD361" s="30">
        <f t="shared" si="128"/>
        <v>0.019</v>
      </c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>
        <f t="shared" si="131"/>
        <v>0</v>
      </c>
    </row>
    <row r="362" spans="2:48" ht="12.75">
      <c r="B362" s="26" t="s">
        <v>472</v>
      </c>
      <c r="C362" s="44" t="s">
        <v>199</v>
      </c>
      <c r="D362" s="166"/>
      <c r="E362" s="140"/>
      <c r="F362" s="140"/>
      <c r="G362" s="167">
        <v>0.455</v>
      </c>
      <c r="H362" s="81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50"/>
      <c r="U362" s="151"/>
      <c r="V362" s="223"/>
      <c r="W362" s="29"/>
      <c r="X362" s="29"/>
      <c r="Y362" s="29"/>
      <c r="Z362" s="158"/>
      <c r="AA362" s="290">
        <v>0.046</v>
      </c>
      <c r="AB362" s="276">
        <f t="shared" si="134"/>
        <v>0</v>
      </c>
      <c r="AC362" s="30"/>
      <c r="AD362" s="30">
        <f t="shared" si="128"/>
        <v>0.046</v>
      </c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</row>
    <row r="363" spans="3:48" ht="12.75">
      <c r="C363" s="44" t="s">
        <v>681</v>
      </c>
      <c r="D363" s="166"/>
      <c r="E363" s="140"/>
      <c r="F363" s="140"/>
      <c r="G363" s="167"/>
      <c r="H363" s="81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50"/>
      <c r="U363" s="151"/>
      <c r="V363" s="223"/>
      <c r="W363" s="29"/>
      <c r="X363" s="29"/>
      <c r="Y363" s="29"/>
      <c r="Z363" s="158"/>
      <c r="AA363" s="290">
        <v>0.254</v>
      </c>
      <c r="AB363" s="276">
        <f t="shared" si="134"/>
        <v>0</v>
      </c>
      <c r="AC363" s="30"/>
      <c r="AD363" s="30">
        <f t="shared" si="128"/>
        <v>0.254</v>
      </c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</row>
    <row r="364" spans="3:48" ht="12.75">
      <c r="C364" s="44" t="s">
        <v>682</v>
      </c>
      <c r="D364" s="166"/>
      <c r="E364" s="140"/>
      <c r="F364" s="140"/>
      <c r="G364" s="167">
        <v>0.009</v>
      </c>
      <c r="H364" s="81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50"/>
      <c r="U364" s="151"/>
      <c r="V364" s="223"/>
      <c r="W364" s="29"/>
      <c r="X364" s="29"/>
      <c r="Y364" s="29"/>
      <c r="Z364" s="158"/>
      <c r="AA364" s="290">
        <v>0.023</v>
      </c>
      <c r="AB364" s="276">
        <f t="shared" si="134"/>
        <v>0</v>
      </c>
      <c r="AC364" s="30"/>
      <c r="AD364" s="30">
        <f t="shared" si="128"/>
        <v>0.023</v>
      </c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>
        <f t="shared" si="131"/>
        <v>0</v>
      </c>
    </row>
    <row r="365" spans="3:48" ht="12.75">
      <c r="C365" s="44" t="s">
        <v>683</v>
      </c>
      <c r="D365" s="166"/>
      <c r="E365" s="140"/>
      <c r="F365" s="140"/>
      <c r="G365" s="167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50"/>
      <c r="U365" s="151"/>
      <c r="V365" s="223"/>
      <c r="W365" s="29"/>
      <c r="X365" s="29"/>
      <c r="Y365" s="29"/>
      <c r="Z365" s="158"/>
      <c r="AA365" s="290">
        <v>0.121</v>
      </c>
      <c r="AB365" s="276">
        <f t="shared" si="134"/>
        <v>0</v>
      </c>
      <c r="AC365" s="30"/>
      <c r="AD365" s="30">
        <f t="shared" si="128"/>
        <v>0.121</v>
      </c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</row>
    <row r="366" spans="3:48" ht="12.75">
      <c r="C366" s="44" t="s">
        <v>684</v>
      </c>
      <c r="D366" s="166"/>
      <c r="E366" s="140"/>
      <c r="F366" s="140"/>
      <c r="G366" s="167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50"/>
      <c r="U366" s="151"/>
      <c r="V366" s="223"/>
      <c r="W366" s="29"/>
      <c r="X366" s="29"/>
      <c r="Y366" s="29"/>
      <c r="Z366" s="158"/>
      <c r="AA366" s="290">
        <v>0.14</v>
      </c>
      <c r="AB366" s="276">
        <f t="shared" si="134"/>
        <v>0</v>
      </c>
      <c r="AC366" s="30"/>
      <c r="AD366" s="30">
        <f t="shared" si="128"/>
        <v>0.14</v>
      </c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</row>
    <row r="367" spans="3:48" ht="12.75">
      <c r="C367" s="44" t="s">
        <v>89</v>
      </c>
      <c r="D367" s="166"/>
      <c r="E367" s="140"/>
      <c r="F367" s="140"/>
      <c r="G367" s="167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50"/>
      <c r="U367" s="151"/>
      <c r="V367" s="223"/>
      <c r="W367" s="29"/>
      <c r="X367" s="29"/>
      <c r="Y367" s="29"/>
      <c r="Z367" s="158"/>
      <c r="AA367" s="290">
        <v>0.023</v>
      </c>
      <c r="AB367" s="276">
        <f t="shared" si="134"/>
        <v>0</v>
      </c>
      <c r="AC367" s="30"/>
      <c r="AD367" s="30">
        <f t="shared" si="128"/>
        <v>0.023</v>
      </c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</row>
    <row r="368" spans="2:48" ht="12.75">
      <c r="B368" s="26" t="s">
        <v>457</v>
      </c>
      <c r="C368" s="44" t="s">
        <v>471</v>
      </c>
      <c r="D368" s="166">
        <v>0.191</v>
      </c>
      <c r="E368" s="140"/>
      <c r="F368" s="140"/>
      <c r="G368" s="167"/>
      <c r="H368" s="12">
        <f>D368/12</f>
        <v>0.015916666666666666</v>
      </c>
      <c r="I368" s="12">
        <f aca="true" t="shared" si="135" ref="I368:S368">H368</f>
        <v>0.015916666666666666</v>
      </c>
      <c r="J368" s="12">
        <f t="shared" si="135"/>
        <v>0.015916666666666666</v>
      </c>
      <c r="K368" s="12">
        <f t="shared" si="135"/>
        <v>0.015916666666666666</v>
      </c>
      <c r="L368" s="12">
        <f t="shared" si="135"/>
        <v>0.015916666666666666</v>
      </c>
      <c r="M368" s="12">
        <f t="shared" si="135"/>
        <v>0.015916666666666666</v>
      </c>
      <c r="N368" s="12">
        <f t="shared" si="135"/>
        <v>0.015916666666666666</v>
      </c>
      <c r="O368" s="12">
        <f t="shared" si="135"/>
        <v>0.015916666666666666</v>
      </c>
      <c r="P368" s="12">
        <f t="shared" si="135"/>
        <v>0.015916666666666666</v>
      </c>
      <c r="Q368" s="12">
        <f t="shared" si="135"/>
        <v>0.015916666666666666</v>
      </c>
      <c r="R368" s="12">
        <f t="shared" si="135"/>
        <v>0.015916666666666666</v>
      </c>
      <c r="S368" s="12">
        <f t="shared" si="135"/>
        <v>0.015916666666666666</v>
      </c>
      <c r="T368" s="150">
        <f>SUM(H368:Q368)</f>
        <v>0.15916666666666665</v>
      </c>
      <c r="U368" s="151"/>
      <c r="V368" s="223"/>
      <c r="W368" s="29"/>
      <c r="X368" s="29"/>
      <c r="Y368" s="29"/>
      <c r="Z368" s="158"/>
      <c r="AA368" s="290">
        <v>0.191</v>
      </c>
      <c r="AB368" s="276">
        <f t="shared" si="134"/>
        <v>0</v>
      </c>
      <c r="AC368" s="30"/>
      <c r="AD368" s="30">
        <f>SUM(W368:AC368)</f>
        <v>0.191</v>
      </c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>
        <f t="shared" si="131"/>
        <v>0</v>
      </c>
    </row>
    <row r="369" spans="2:48" ht="12.75">
      <c r="B369" s="26" t="s">
        <v>609</v>
      </c>
      <c r="C369" s="44" t="s">
        <v>610</v>
      </c>
      <c r="D369" s="166">
        <v>0.045</v>
      </c>
      <c r="E369" s="140"/>
      <c r="F369" s="140"/>
      <c r="G369" s="167">
        <v>0.049</v>
      </c>
      <c r="H369" s="12">
        <f>D369/12</f>
        <v>0.00375</v>
      </c>
      <c r="I369" s="12">
        <f>H369</f>
        <v>0.00375</v>
      </c>
      <c r="J369" s="12">
        <f aca="true" t="shared" si="136" ref="J369:S369">I369</f>
        <v>0.00375</v>
      </c>
      <c r="K369" s="12">
        <f t="shared" si="136"/>
        <v>0.00375</v>
      </c>
      <c r="L369" s="12">
        <f t="shared" si="136"/>
        <v>0.00375</v>
      </c>
      <c r="M369" s="12">
        <f t="shared" si="136"/>
        <v>0.00375</v>
      </c>
      <c r="N369" s="12">
        <f t="shared" si="136"/>
        <v>0.00375</v>
      </c>
      <c r="O369" s="12">
        <f t="shared" si="136"/>
        <v>0.00375</v>
      </c>
      <c r="P369" s="12">
        <f t="shared" si="136"/>
        <v>0.00375</v>
      </c>
      <c r="Q369" s="12">
        <f t="shared" si="136"/>
        <v>0.00375</v>
      </c>
      <c r="R369" s="12">
        <f t="shared" si="136"/>
        <v>0.00375</v>
      </c>
      <c r="S369" s="12">
        <f t="shared" si="136"/>
        <v>0.00375</v>
      </c>
      <c r="T369" s="150">
        <f aca="true" t="shared" si="137" ref="T369:T380">SUM(H369:Q369)</f>
        <v>0.037500000000000006</v>
      </c>
      <c r="U369" s="151"/>
      <c r="V369" s="223"/>
      <c r="W369" s="29"/>
      <c r="X369" s="29"/>
      <c r="Y369" s="29"/>
      <c r="Z369" s="158"/>
      <c r="AA369" s="290">
        <v>0.045</v>
      </c>
      <c r="AB369" s="276">
        <f>SUM(AF369:AU369)</f>
        <v>0</v>
      </c>
      <c r="AC369" s="30"/>
      <c r="AD369" s="30">
        <f>SUM(W369:AC369)</f>
        <v>0.045</v>
      </c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>
        <f>SUM(AF369:AU369)</f>
        <v>0</v>
      </c>
    </row>
    <row r="370" spans="2:48" ht="12.75">
      <c r="B370" s="26" t="s">
        <v>621</v>
      </c>
      <c r="C370" s="44" t="s">
        <v>622</v>
      </c>
      <c r="D370" s="166"/>
      <c r="E370" s="140"/>
      <c r="F370" s="140"/>
      <c r="G370" s="167">
        <v>0.007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50"/>
      <c r="U370" s="151"/>
      <c r="V370" s="223"/>
      <c r="W370" s="29"/>
      <c r="X370" s="29"/>
      <c r="Y370" s="29"/>
      <c r="Z370" s="158"/>
      <c r="AA370" s="290"/>
      <c r="AB370" s="276">
        <f>SUM(AF370:AU370)</f>
        <v>0</v>
      </c>
      <c r="AC370" s="30"/>
      <c r="AD370" s="30">
        <f>SUM(W370:AC370)</f>
        <v>0</v>
      </c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>
        <f>SUM(AF370:AU370)</f>
        <v>0</v>
      </c>
    </row>
    <row r="371" spans="2:48" ht="12.75">
      <c r="B371" s="26" t="s">
        <v>39</v>
      </c>
      <c r="C371" s="175" t="s">
        <v>419</v>
      </c>
      <c r="D371" s="179">
        <v>0.003</v>
      </c>
      <c r="E371" s="140"/>
      <c r="F371" s="140"/>
      <c r="G371" s="167">
        <v>0.003</v>
      </c>
      <c r="H371" s="81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>
        <v>0.003</v>
      </c>
      <c r="T371" s="150">
        <f t="shared" si="137"/>
        <v>0</v>
      </c>
      <c r="U371" s="151"/>
      <c r="V371" s="223"/>
      <c r="W371" s="29"/>
      <c r="X371" s="29"/>
      <c r="Y371" s="29"/>
      <c r="Z371" s="158"/>
      <c r="AA371" s="277">
        <v>0.003</v>
      </c>
      <c r="AB371" s="276">
        <f t="shared" si="130"/>
        <v>0</v>
      </c>
      <c r="AC371" s="30"/>
      <c r="AD371" s="30">
        <f t="shared" si="128"/>
        <v>0.003</v>
      </c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>
        <f t="shared" si="131"/>
        <v>0</v>
      </c>
    </row>
    <row r="372" spans="2:48" ht="12.75">
      <c r="B372" s="26" t="s">
        <v>591</v>
      </c>
      <c r="C372" s="175" t="s">
        <v>420</v>
      </c>
      <c r="D372" s="179">
        <f>0.279-0.095</f>
        <v>0.18400000000000002</v>
      </c>
      <c r="E372" s="140"/>
      <c r="F372" s="140"/>
      <c r="G372" s="167">
        <v>0.194</v>
      </c>
      <c r="H372" s="12">
        <f>D372/12</f>
        <v>0.015333333333333336</v>
      </c>
      <c r="I372" s="12">
        <f aca="true" t="shared" si="138" ref="I372:S372">H372</f>
        <v>0.015333333333333336</v>
      </c>
      <c r="J372" s="12">
        <f t="shared" si="138"/>
        <v>0.015333333333333336</v>
      </c>
      <c r="K372" s="12">
        <f t="shared" si="138"/>
        <v>0.015333333333333336</v>
      </c>
      <c r="L372" s="12">
        <f t="shared" si="138"/>
        <v>0.015333333333333336</v>
      </c>
      <c r="M372" s="12">
        <f t="shared" si="138"/>
        <v>0.015333333333333336</v>
      </c>
      <c r="N372" s="12">
        <f t="shared" si="138"/>
        <v>0.015333333333333336</v>
      </c>
      <c r="O372" s="12">
        <f t="shared" si="138"/>
        <v>0.015333333333333336</v>
      </c>
      <c r="P372" s="12">
        <f t="shared" si="138"/>
        <v>0.015333333333333336</v>
      </c>
      <c r="Q372" s="12">
        <f t="shared" si="138"/>
        <v>0.015333333333333336</v>
      </c>
      <c r="R372" s="12">
        <f t="shared" si="138"/>
        <v>0.015333333333333336</v>
      </c>
      <c r="S372" s="12">
        <f t="shared" si="138"/>
        <v>0.015333333333333336</v>
      </c>
      <c r="T372" s="150">
        <f t="shared" si="137"/>
        <v>0.15333333333333335</v>
      </c>
      <c r="U372" s="151"/>
      <c r="V372" s="223"/>
      <c r="W372" s="29"/>
      <c r="X372" s="29"/>
      <c r="Y372" s="29"/>
      <c r="Z372" s="158"/>
      <c r="AA372" s="277">
        <f>0.279-0.095</f>
        <v>0.18400000000000002</v>
      </c>
      <c r="AB372" s="276">
        <f aca="true" t="shared" si="139" ref="AB372:AB381">SUM(AF372:AU372)</f>
        <v>0</v>
      </c>
      <c r="AC372" s="30"/>
      <c r="AD372" s="30">
        <f aca="true" t="shared" si="140" ref="AD372:AD381">SUM(W372:AC372)</f>
        <v>0.18400000000000002</v>
      </c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>
        <f t="shared" si="131"/>
        <v>0</v>
      </c>
    </row>
    <row r="373" spans="3:48" ht="12.75">
      <c r="C373" s="175" t="s">
        <v>421</v>
      </c>
      <c r="D373" s="179">
        <v>0.001</v>
      </c>
      <c r="E373" s="140"/>
      <c r="F373" s="140"/>
      <c r="G373" s="167"/>
      <c r="H373" s="81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>
        <v>0.001</v>
      </c>
      <c r="T373" s="150">
        <f t="shared" si="137"/>
        <v>0</v>
      </c>
      <c r="U373" s="151"/>
      <c r="V373" s="223"/>
      <c r="W373" s="29"/>
      <c r="X373" s="29"/>
      <c r="Y373" s="29"/>
      <c r="Z373" s="158"/>
      <c r="AA373" s="277">
        <v>0.001</v>
      </c>
      <c r="AB373" s="276">
        <f t="shared" si="139"/>
        <v>0</v>
      </c>
      <c r="AC373" s="30"/>
      <c r="AD373" s="30">
        <f t="shared" si="140"/>
        <v>0.001</v>
      </c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>
        <f t="shared" si="131"/>
        <v>0</v>
      </c>
    </row>
    <row r="374" spans="2:48" ht="12.75">
      <c r="B374" s="26" t="s">
        <v>582</v>
      </c>
      <c r="C374" s="175" t="s">
        <v>24</v>
      </c>
      <c r="D374" s="179"/>
      <c r="E374" s="140"/>
      <c r="F374" s="140"/>
      <c r="G374" s="167">
        <v>0.185</v>
      </c>
      <c r="H374" s="81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50">
        <f t="shared" si="137"/>
        <v>0</v>
      </c>
      <c r="U374" s="151"/>
      <c r="V374" s="223"/>
      <c r="W374" s="29"/>
      <c r="X374" s="29"/>
      <c r="Y374" s="29"/>
      <c r="Z374" s="158"/>
      <c r="AA374" s="277"/>
      <c r="AB374" s="276">
        <f t="shared" si="139"/>
        <v>0</v>
      </c>
      <c r="AC374" s="30"/>
      <c r="AD374" s="30">
        <f t="shared" si="140"/>
        <v>0</v>
      </c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>
        <f t="shared" si="131"/>
        <v>0</v>
      </c>
    </row>
    <row r="375" spans="2:48" ht="12.75">
      <c r="B375" s="26" t="s">
        <v>583</v>
      </c>
      <c r="C375" s="44" t="s">
        <v>219</v>
      </c>
      <c r="D375" s="167">
        <v>0.03</v>
      </c>
      <c r="E375" s="244"/>
      <c r="F375" s="245"/>
      <c r="G375" s="167">
        <v>0.009</v>
      </c>
      <c r="H375" s="12">
        <f>D375/12</f>
        <v>0.0025</v>
      </c>
      <c r="I375" s="12">
        <f aca="true" t="shared" si="141" ref="I375:S376">H375</f>
        <v>0.0025</v>
      </c>
      <c r="J375" s="12">
        <f t="shared" si="141"/>
        <v>0.0025</v>
      </c>
      <c r="K375" s="12">
        <f t="shared" si="141"/>
        <v>0.0025</v>
      </c>
      <c r="L375" s="12">
        <f t="shared" si="141"/>
        <v>0.0025</v>
      </c>
      <c r="M375" s="12">
        <f t="shared" si="141"/>
        <v>0.0025</v>
      </c>
      <c r="N375" s="12">
        <f t="shared" si="141"/>
        <v>0.0025</v>
      </c>
      <c r="O375" s="12">
        <f t="shared" si="141"/>
        <v>0.0025</v>
      </c>
      <c r="P375" s="12">
        <f t="shared" si="141"/>
        <v>0.0025</v>
      </c>
      <c r="Q375" s="12">
        <f t="shared" si="141"/>
        <v>0.0025</v>
      </c>
      <c r="R375" s="12">
        <f t="shared" si="141"/>
        <v>0.0025</v>
      </c>
      <c r="S375" s="12">
        <f t="shared" si="141"/>
        <v>0.0025</v>
      </c>
      <c r="T375" s="150">
        <f t="shared" si="137"/>
        <v>0.024999999999999998</v>
      </c>
      <c r="U375" s="151"/>
      <c r="V375" s="223"/>
      <c r="W375" s="29"/>
      <c r="X375" s="29"/>
      <c r="Y375" s="29"/>
      <c r="Z375" s="158"/>
      <c r="AA375" s="29"/>
      <c r="AB375" s="276">
        <f t="shared" si="139"/>
        <v>0.03</v>
      </c>
      <c r="AC375" s="30"/>
      <c r="AD375" s="30">
        <f t="shared" si="140"/>
        <v>0.03</v>
      </c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>
        <v>0.03</v>
      </c>
      <c r="AQ375" s="30"/>
      <c r="AR375" s="30"/>
      <c r="AS375" s="30"/>
      <c r="AT375" s="30"/>
      <c r="AU375" s="30"/>
      <c r="AV375" s="30">
        <f t="shared" si="131"/>
        <v>0.03</v>
      </c>
    </row>
    <row r="376" spans="2:48" ht="13.5" customHeight="1">
      <c r="B376" s="26" t="s">
        <v>584</v>
      </c>
      <c r="C376" s="44" t="s">
        <v>316</v>
      </c>
      <c r="D376" s="167">
        <v>0.01</v>
      </c>
      <c r="E376" s="244"/>
      <c r="F376" s="245"/>
      <c r="G376" s="167">
        <v>0.004</v>
      </c>
      <c r="H376" s="12">
        <f>D376/12</f>
        <v>0.0008333333333333334</v>
      </c>
      <c r="I376" s="12">
        <f t="shared" si="141"/>
        <v>0.0008333333333333334</v>
      </c>
      <c r="J376" s="12">
        <f t="shared" si="141"/>
        <v>0.0008333333333333334</v>
      </c>
      <c r="K376" s="12">
        <f t="shared" si="141"/>
        <v>0.0008333333333333334</v>
      </c>
      <c r="L376" s="12">
        <f t="shared" si="141"/>
        <v>0.0008333333333333334</v>
      </c>
      <c r="M376" s="12">
        <f t="shared" si="141"/>
        <v>0.0008333333333333334</v>
      </c>
      <c r="N376" s="12">
        <f t="shared" si="141"/>
        <v>0.0008333333333333334</v>
      </c>
      <c r="O376" s="12">
        <f t="shared" si="141"/>
        <v>0.0008333333333333334</v>
      </c>
      <c r="P376" s="12">
        <f t="shared" si="141"/>
        <v>0.0008333333333333334</v>
      </c>
      <c r="Q376" s="12">
        <f t="shared" si="141"/>
        <v>0.0008333333333333334</v>
      </c>
      <c r="R376" s="12">
        <f t="shared" si="141"/>
        <v>0.0008333333333333334</v>
      </c>
      <c r="S376" s="12">
        <f t="shared" si="141"/>
        <v>0.0008333333333333334</v>
      </c>
      <c r="T376" s="150">
        <f t="shared" si="137"/>
        <v>0.008333333333333333</v>
      </c>
      <c r="U376" s="151"/>
      <c r="V376" s="223"/>
      <c r="W376" s="29"/>
      <c r="X376" s="29"/>
      <c r="Y376" s="29"/>
      <c r="Z376" s="29"/>
      <c r="AA376" s="29"/>
      <c r="AB376" s="29">
        <f t="shared" si="139"/>
        <v>0.01</v>
      </c>
      <c r="AC376" s="30"/>
      <c r="AD376" s="30">
        <f t="shared" si="140"/>
        <v>0.01</v>
      </c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>
        <v>0.01</v>
      </c>
      <c r="AQ376" s="30"/>
      <c r="AR376" s="30"/>
      <c r="AS376" s="30"/>
      <c r="AT376" s="30"/>
      <c r="AU376" s="30"/>
      <c r="AV376" s="30">
        <f t="shared" si="131"/>
        <v>0.01</v>
      </c>
    </row>
    <row r="377" spans="2:48" ht="13.5" customHeight="1">
      <c r="B377" s="26" t="s">
        <v>586</v>
      </c>
      <c r="C377" s="44" t="s">
        <v>585</v>
      </c>
      <c r="D377" s="167"/>
      <c r="E377" s="244"/>
      <c r="F377" s="245"/>
      <c r="G377" s="167">
        <v>0.001</v>
      </c>
      <c r="H377" s="81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50">
        <f t="shared" si="137"/>
        <v>0</v>
      </c>
      <c r="U377" s="151"/>
      <c r="V377" s="223"/>
      <c r="W377" s="29"/>
      <c r="X377" s="29"/>
      <c r="Y377" s="29"/>
      <c r="Z377" s="29"/>
      <c r="AA377" s="29"/>
      <c r="AB377" s="29">
        <f t="shared" si="139"/>
        <v>0</v>
      </c>
      <c r="AC377" s="30"/>
      <c r="AD377" s="30">
        <f t="shared" si="140"/>
        <v>0</v>
      </c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>
        <f t="shared" si="131"/>
        <v>0</v>
      </c>
    </row>
    <row r="378" spans="2:48" ht="12.75">
      <c r="B378" s="26" t="s">
        <v>587</v>
      </c>
      <c r="C378" s="44" t="s">
        <v>220</v>
      </c>
      <c r="D378" s="167">
        <v>0.006</v>
      </c>
      <c r="E378" s="244"/>
      <c r="F378" s="245"/>
      <c r="G378" s="167">
        <v>0.003</v>
      </c>
      <c r="H378" s="81"/>
      <c r="I378" s="12"/>
      <c r="J378" s="12"/>
      <c r="K378" s="12"/>
      <c r="L378" s="12"/>
      <c r="M378" s="12"/>
      <c r="N378" s="12">
        <v>0.001</v>
      </c>
      <c r="O378" s="12">
        <v>0.001</v>
      </c>
      <c r="P378" s="12">
        <v>0.001</v>
      </c>
      <c r="Q378" s="12">
        <v>0.001</v>
      </c>
      <c r="R378" s="12">
        <v>0.001</v>
      </c>
      <c r="S378" s="12">
        <v>0.001</v>
      </c>
      <c r="T378" s="150">
        <f t="shared" si="137"/>
        <v>0.004</v>
      </c>
      <c r="U378" s="151"/>
      <c r="V378" s="223"/>
      <c r="W378" s="29"/>
      <c r="X378" s="29"/>
      <c r="Y378" s="29"/>
      <c r="Z378" s="29"/>
      <c r="AA378" s="29"/>
      <c r="AB378" s="29">
        <f t="shared" si="139"/>
        <v>0.006</v>
      </c>
      <c r="AC378" s="30"/>
      <c r="AD378" s="30">
        <f t="shared" si="140"/>
        <v>0.006</v>
      </c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>
        <v>0.006</v>
      </c>
      <c r="AQ378" s="30"/>
      <c r="AR378" s="30"/>
      <c r="AS378" s="30"/>
      <c r="AT378" s="30"/>
      <c r="AU378" s="30"/>
      <c r="AV378" s="30">
        <f t="shared" si="131"/>
        <v>0.006</v>
      </c>
    </row>
    <row r="379" spans="3:49" ht="12.75">
      <c r="C379" s="44" t="s">
        <v>615</v>
      </c>
      <c r="D379" s="167">
        <v>0.07</v>
      </c>
      <c r="E379" s="140"/>
      <c r="F379" s="140"/>
      <c r="G379" s="167"/>
      <c r="H379" s="12"/>
      <c r="I379" s="12"/>
      <c r="J379" s="12"/>
      <c r="K379" s="12"/>
      <c r="L379" s="12"/>
      <c r="M379" s="12"/>
      <c r="N379" s="12"/>
      <c r="O379" s="12">
        <f>D379/5</f>
        <v>0.014000000000000002</v>
      </c>
      <c r="P379" s="12">
        <f>O379</f>
        <v>0.014000000000000002</v>
      </c>
      <c r="Q379" s="12">
        <f>P379</f>
        <v>0.014000000000000002</v>
      </c>
      <c r="R379" s="12">
        <f>Q379</f>
        <v>0.014000000000000002</v>
      </c>
      <c r="S379" s="12">
        <f>R379</f>
        <v>0.014000000000000002</v>
      </c>
      <c r="T379" s="150">
        <f t="shared" si="137"/>
        <v>0.04200000000000001</v>
      </c>
      <c r="U379" s="151"/>
      <c r="V379" s="223"/>
      <c r="W379" s="29"/>
      <c r="X379" s="29"/>
      <c r="Y379" s="29"/>
      <c r="Z379" s="29"/>
      <c r="AA379" s="29"/>
      <c r="AB379" s="29">
        <f>SUM(AF379:AU379)</f>
        <v>0</v>
      </c>
      <c r="AC379" s="30">
        <v>0.07</v>
      </c>
      <c r="AD379" s="30">
        <f>SUM(W379:AC379)</f>
        <v>0.07</v>
      </c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>
        <f t="shared" si="131"/>
        <v>0</v>
      </c>
      <c r="AW379" s="26" t="s">
        <v>429</v>
      </c>
    </row>
    <row r="380" spans="2:49" ht="12.75">
      <c r="B380" s="20" t="s">
        <v>490</v>
      </c>
      <c r="C380" s="260" t="s">
        <v>40</v>
      </c>
      <c r="D380" s="166">
        <v>0.054</v>
      </c>
      <c r="E380" s="238"/>
      <c r="F380" s="238"/>
      <c r="G380" s="166">
        <v>0.256</v>
      </c>
      <c r="H380" s="12">
        <f>D380/12</f>
        <v>0.0045</v>
      </c>
      <c r="I380" s="12">
        <f aca="true" t="shared" si="142" ref="I380:S380">H380</f>
        <v>0.0045</v>
      </c>
      <c r="J380" s="12">
        <f t="shared" si="142"/>
        <v>0.0045</v>
      </c>
      <c r="K380" s="12">
        <f t="shared" si="142"/>
        <v>0.0045</v>
      </c>
      <c r="L380" s="12">
        <f t="shared" si="142"/>
        <v>0.0045</v>
      </c>
      <c r="M380" s="12">
        <f t="shared" si="142"/>
        <v>0.0045</v>
      </c>
      <c r="N380" s="12">
        <f t="shared" si="142"/>
        <v>0.0045</v>
      </c>
      <c r="O380" s="12">
        <f t="shared" si="142"/>
        <v>0.0045</v>
      </c>
      <c r="P380" s="12">
        <f t="shared" si="142"/>
        <v>0.0045</v>
      </c>
      <c r="Q380" s="12">
        <f t="shared" si="142"/>
        <v>0.0045</v>
      </c>
      <c r="R380" s="12">
        <f t="shared" si="142"/>
        <v>0.0045</v>
      </c>
      <c r="S380" s="12">
        <f t="shared" si="142"/>
        <v>0.0045</v>
      </c>
      <c r="T380" s="150">
        <f t="shared" si="137"/>
        <v>0.04499999999999999</v>
      </c>
      <c r="U380" s="151"/>
      <c r="V380" s="223"/>
      <c r="W380" s="29"/>
      <c r="X380" s="29"/>
      <c r="Y380" s="29"/>
      <c r="Z380" s="29"/>
      <c r="AA380" s="29">
        <v>0.014</v>
      </c>
      <c r="AB380" s="29">
        <f t="shared" si="139"/>
        <v>0</v>
      </c>
      <c r="AC380" s="30">
        <v>0.04</v>
      </c>
      <c r="AD380" s="30">
        <f t="shared" si="140"/>
        <v>0.054</v>
      </c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>
        <f t="shared" si="131"/>
        <v>0</v>
      </c>
      <c r="AW380" s="26" t="s">
        <v>598</v>
      </c>
    </row>
    <row r="381" spans="1:48" ht="13.5" thickBot="1">
      <c r="A381" s="26" t="s">
        <v>352</v>
      </c>
      <c r="B381" s="20"/>
      <c r="C381" s="76"/>
      <c r="D381" s="19"/>
      <c r="E381" s="244"/>
      <c r="F381" s="245"/>
      <c r="G381" s="166"/>
      <c r="H381" s="81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50"/>
      <c r="U381" s="151"/>
      <c r="V381" s="223"/>
      <c r="W381" s="29"/>
      <c r="X381" s="29"/>
      <c r="Y381" s="29"/>
      <c r="Z381" s="29">
        <f>0.034-0.034</f>
        <v>0</v>
      </c>
      <c r="AA381" s="29"/>
      <c r="AB381" s="29">
        <f t="shared" si="139"/>
        <v>0</v>
      </c>
      <c r="AC381" s="30">
        <f>0.015-0.015</f>
        <v>0</v>
      </c>
      <c r="AD381" s="30">
        <f t="shared" si="140"/>
        <v>0</v>
      </c>
      <c r="AF381" s="30"/>
      <c r="AG381" s="30"/>
      <c r="AH381" s="30"/>
      <c r="AI381" s="30">
        <f>0.169-0.169</f>
        <v>0</v>
      </c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>
        <f>SUM(AF381:AU381)</f>
        <v>0</v>
      </c>
    </row>
    <row r="382" spans="2:48" ht="13.5" thickBot="1">
      <c r="B382" s="77"/>
      <c r="C382" s="7" t="s">
        <v>400</v>
      </c>
      <c r="D382" s="18">
        <f>SUM(D260:D381)</f>
        <v>14.332999999999997</v>
      </c>
      <c r="E382" s="242"/>
      <c r="F382" s="243"/>
      <c r="G382" s="310">
        <f>SUM(G260:G381)-G323-G344</f>
        <v>7.116000000000004</v>
      </c>
      <c r="H382" s="87">
        <f aca="true" t="shared" si="143" ref="H382:T382">SUM(H260:H381)</f>
        <v>0.7775</v>
      </c>
      <c r="I382" s="88">
        <f t="shared" si="143"/>
        <v>0.6254999999999998</v>
      </c>
      <c r="J382" s="88">
        <f t="shared" si="143"/>
        <v>0.7194999999999999</v>
      </c>
      <c r="K382" s="88">
        <f t="shared" si="143"/>
        <v>1.4044999999999996</v>
      </c>
      <c r="L382" s="88">
        <f t="shared" si="143"/>
        <v>0.7454999999999998</v>
      </c>
      <c r="M382" s="88">
        <f t="shared" si="143"/>
        <v>0.7925</v>
      </c>
      <c r="N382" s="88">
        <f t="shared" si="143"/>
        <v>0.7565</v>
      </c>
      <c r="O382" s="88">
        <f t="shared" si="143"/>
        <v>0.9534999999999999</v>
      </c>
      <c r="P382" s="88">
        <f t="shared" si="143"/>
        <v>0.8255</v>
      </c>
      <c r="Q382" s="88">
        <f t="shared" si="143"/>
        <v>0.9764999999999999</v>
      </c>
      <c r="R382" s="88">
        <f t="shared" si="143"/>
        <v>0.9465</v>
      </c>
      <c r="S382" s="88">
        <f t="shared" si="143"/>
        <v>4.809500000000003</v>
      </c>
      <c r="T382" s="270">
        <f t="shared" si="143"/>
        <v>7.97</v>
      </c>
      <c r="U382" s="151"/>
      <c r="V382" s="223"/>
      <c r="W382" s="23">
        <f aca="true" t="shared" si="144" ref="W382:AC382">SUM(W260:W381)</f>
        <v>0</v>
      </c>
      <c r="X382" s="23">
        <f t="shared" si="144"/>
        <v>0</v>
      </c>
      <c r="Y382" s="23">
        <f t="shared" si="144"/>
        <v>4.027</v>
      </c>
      <c r="Z382" s="23">
        <f t="shared" si="144"/>
        <v>0.043000000000000003</v>
      </c>
      <c r="AA382" s="23">
        <f>SUM(AA260:AA381)</f>
        <v>8.585999999999999</v>
      </c>
      <c r="AB382" s="23">
        <f t="shared" si="144"/>
        <v>1.1219999999999999</v>
      </c>
      <c r="AC382" s="23">
        <f t="shared" si="144"/>
        <v>0.555</v>
      </c>
      <c r="AD382" s="23">
        <f>SUM(W382:AC382)</f>
        <v>14.332999999999998</v>
      </c>
      <c r="AF382" s="23">
        <f aca="true" t="shared" si="145" ref="AF382:AU382">SUM(AF260:AF381)</f>
        <v>0</v>
      </c>
      <c r="AG382" s="23">
        <f t="shared" si="145"/>
        <v>0</v>
      </c>
      <c r="AH382" s="23">
        <f t="shared" si="145"/>
        <v>0</v>
      </c>
      <c r="AI382" s="23">
        <f t="shared" si="145"/>
        <v>0.174</v>
      </c>
      <c r="AJ382" s="23">
        <f t="shared" si="145"/>
        <v>0</v>
      </c>
      <c r="AK382" s="23">
        <f t="shared" si="145"/>
        <v>0</v>
      </c>
      <c r="AL382" s="23">
        <f t="shared" si="145"/>
        <v>0</v>
      </c>
      <c r="AM382" s="23">
        <f t="shared" si="145"/>
        <v>0</v>
      </c>
      <c r="AN382" s="23">
        <f t="shared" si="145"/>
        <v>0.024</v>
      </c>
      <c r="AO382" s="23">
        <f t="shared" si="145"/>
        <v>0</v>
      </c>
      <c r="AP382" s="23">
        <f t="shared" si="145"/>
        <v>0.046</v>
      </c>
      <c r="AQ382" s="23">
        <f t="shared" si="145"/>
        <v>0</v>
      </c>
      <c r="AR382" s="23">
        <f t="shared" si="145"/>
        <v>0.126</v>
      </c>
      <c r="AS382" s="23">
        <f t="shared" si="145"/>
        <v>0</v>
      </c>
      <c r="AT382" s="23">
        <f t="shared" si="145"/>
        <v>0</v>
      </c>
      <c r="AU382" s="23">
        <f t="shared" si="145"/>
        <v>0.752</v>
      </c>
      <c r="AV382" s="33">
        <f>SUM(AF382:AU382)</f>
        <v>1.1219999999999999</v>
      </c>
    </row>
    <row r="383" spans="2:48" ht="13.5" thickBot="1">
      <c r="B383" s="77"/>
      <c r="C383" s="5"/>
      <c r="D383" s="17"/>
      <c r="F383" s="237"/>
      <c r="G383" s="312"/>
      <c r="H383" s="80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12"/>
      <c r="T383" s="152"/>
      <c r="U383" s="151"/>
      <c r="V383" s="223"/>
      <c r="W383" s="29"/>
      <c r="X383" s="29"/>
      <c r="Y383" s="29"/>
      <c r="Z383" s="29"/>
      <c r="AA383" s="29"/>
      <c r="AB383" s="29"/>
      <c r="AC383" s="30"/>
      <c r="AD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</row>
    <row r="384" spans="2:48" ht="13.5" thickBot="1">
      <c r="B384" s="77"/>
      <c r="C384" s="22" t="s">
        <v>393</v>
      </c>
      <c r="D384" s="18">
        <f>D34+D69+D88+D139+D170+D204+D218+D257+D382</f>
        <v>107.154</v>
      </c>
      <c r="E384" s="242"/>
      <c r="F384" s="243"/>
      <c r="G384" s="310">
        <f aca="true" t="shared" si="146" ref="G384:T384">G34+G69+G88+G139+G170+G204+G218+G257+G382</f>
        <v>69.71</v>
      </c>
      <c r="H384" s="46">
        <f t="shared" si="146"/>
        <v>6.78175</v>
      </c>
      <c r="I384" s="89">
        <f t="shared" si="146"/>
        <v>4.785749999999999</v>
      </c>
      <c r="J384" s="89">
        <f t="shared" si="146"/>
        <v>6.72175</v>
      </c>
      <c r="K384" s="89">
        <f t="shared" si="146"/>
        <v>9.42175</v>
      </c>
      <c r="L384" s="89">
        <f t="shared" si="146"/>
        <v>8.71275</v>
      </c>
      <c r="M384" s="89">
        <f t="shared" si="146"/>
        <v>12.366749999999998</v>
      </c>
      <c r="N384" s="89">
        <f t="shared" si="146"/>
        <v>8.867750000000001</v>
      </c>
      <c r="O384" s="89">
        <f t="shared" si="146"/>
        <v>8.18975</v>
      </c>
      <c r="P384" s="89">
        <f t="shared" si="146"/>
        <v>7.983750000000001</v>
      </c>
      <c r="Q384" s="89">
        <f t="shared" si="146"/>
        <v>7.405750000000001</v>
      </c>
      <c r="R384" s="89">
        <f t="shared" si="146"/>
        <v>7.934750000000001</v>
      </c>
      <c r="S384" s="89">
        <f t="shared" si="146"/>
        <v>17.981750000000005</v>
      </c>
      <c r="T384" s="187">
        <f t="shared" si="146"/>
        <v>80.3985</v>
      </c>
      <c r="U384" s="151"/>
      <c r="V384" s="223"/>
      <c r="W384" s="159">
        <f aca="true" t="shared" si="147" ref="W384:AD384">W34+W69+W88+W139+W170+W204+W218+W257+W382</f>
        <v>10.581</v>
      </c>
      <c r="X384" s="18">
        <f t="shared" si="147"/>
        <v>2.087</v>
      </c>
      <c r="Y384" s="18">
        <f t="shared" si="147"/>
        <v>7.852</v>
      </c>
      <c r="Z384" s="18">
        <f t="shared" si="147"/>
        <v>1.613</v>
      </c>
      <c r="AA384" s="18">
        <f t="shared" si="147"/>
        <v>22.855999999999998</v>
      </c>
      <c r="AB384" s="18">
        <f t="shared" si="147"/>
        <v>60.1593</v>
      </c>
      <c r="AC384" s="18">
        <f t="shared" si="147"/>
        <v>2.0060000000000002</v>
      </c>
      <c r="AD384" s="18">
        <f t="shared" si="147"/>
        <v>107.15429999999999</v>
      </c>
      <c r="AF384" s="18">
        <f aca="true" t="shared" si="148" ref="AF384:AV384">AF34+AF69+AF88+AF139+AF170+AF204+AF218+AF257+AF382</f>
        <v>4.789000000000001</v>
      </c>
      <c r="AG384" s="18">
        <f t="shared" si="148"/>
        <v>0</v>
      </c>
      <c r="AH384" s="18">
        <f t="shared" si="148"/>
        <v>2.092</v>
      </c>
      <c r="AI384" s="18">
        <f t="shared" si="148"/>
        <v>2.8913000000000006</v>
      </c>
      <c r="AJ384" s="18">
        <f t="shared" si="148"/>
        <v>0.086</v>
      </c>
      <c r="AK384" s="18">
        <f t="shared" si="148"/>
        <v>2.606</v>
      </c>
      <c r="AL384" s="18">
        <f t="shared" si="148"/>
        <v>0.103</v>
      </c>
      <c r="AM384" s="18">
        <f t="shared" si="148"/>
        <v>0.7839999999999999</v>
      </c>
      <c r="AN384" s="18">
        <f t="shared" si="148"/>
        <v>1.5970000000000002</v>
      </c>
      <c r="AO384" s="18">
        <f t="shared" si="148"/>
        <v>0.8889999999999999</v>
      </c>
      <c r="AP384" s="18">
        <f t="shared" si="148"/>
        <v>4.214</v>
      </c>
      <c r="AQ384" s="18">
        <f t="shared" si="148"/>
        <v>1.9449999999999998</v>
      </c>
      <c r="AR384" s="18">
        <f t="shared" si="148"/>
        <v>0.126</v>
      </c>
      <c r="AS384" s="18">
        <f t="shared" si="148"/>
        <v>18.22</v>
      </c>
      <c r="AT384" s="18">
        <f t="shared" si="148"/>
        <v>0</v>
      </c>
      <c r="AU384" s="18">
        <f t="shared" si="148"/>
        <v>19.733999999999998</v>
      </c>
      <c r="AV384" s="18">
        <f t="shared" si="148"/>
        <v>59.95099999999999</v>
      </c>
    </row>
    <row r="385" spans="2:48" ht="12.75">
      <c r="B385" s="77"/>
      <c r="C385" s="3" t="s">
        <v>238</v>
      </c>
      <c r="D385" s="13"/>
      <c r="E385" s="139"/>
      <c r="F385" s="139"/>
      <c r="G385" s="305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3"/>
      <c r="U385" s="151"/>
      <c r="V385" s="223"/>
      <c r="W385" s="177">
        <v>0.2</v>
      </c>
      <c r="X385" s="13"/>
      <c r="Y385" s="13"/>
      <c r="Z385" s="13"/>
      <c r="AA385" s="13">
        <v>-0.2</v>
      </c>
      <c r="AB385" s="13"/>
      <c r="AC385" s="13"/>
      <c r="AD385" s="7">
        <f>SUM(W385:AC385)</f>
        <v>0</v>
      </c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</row>
    <row r="386" spans="2:48" ht="13.5" thickBot="1">
      <c r="B386" s="77"/>
      <c r="C386" s="24" t="s">
        <v>237</v>
      </c>
      <c r="D386" s="176"/>
      <c r="E386" s="234"/>
      <c r="F386" s="234"/>
      <c r="G386" s="314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24"/>
      <c r="U386" s="151"/>
      <c r="W386" s="178">
        <v>6.8</v>
      </c>
      <c r="X386" s="176"/>
      <c r="Y386" s="176"/>
      <c r="Z386" s="176"/>
      <c r="AA386" s="176">
        <v>-6.8</v>
      </c>
      <c r="AB386" s="176"/>
      <c r="AC386" s="176"/>
      <c r="AD386" s="176">
        <f>SUM(W386:AC386)</f>
        <v>0</v>
      </c>
      <c r="AF386" s="176"/>
      <c r="AG386" s="176"/>
      <c r="AH386" s="176"/>
      <c r="AI386" s="176"/>
      <c r="AJ386" s="176"/>
      <c r="AK386" s="176"/>
      <c r="AL386" s="176"/>
      <c r="AM386" s="176"/>
      <c r="AN386" s="176"/>
      <c r="AO386" s="176"/>
      <c r="AP386" s="176"/>
      <c r="AQ386" s="176"/>
      <c r="AR386" s="176"/>
      <c r="AS386" s="176"/>
      <c r="AT386" s="176"/>
      <c r="AU386" s="176"/>
      <c r="AV386" s="176"/>
    </row>
    <row r="387" spans="2:48" ht="13.5" thickBot="1">
      <c r="B387" s="77"/>
      <c r="C387" s="143" t="s">
        <v>379</v>
      </c>
      <c r="D387" s="18"/>
      <c r="E387" s="242"/>
      <c r="F387" s="243"/>
      <c r="G387" s="310"/>
      <c r="H387" s="46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90"/>
      <c r="T387" s="90"/>
      <c r="U387" s="151"/>
      <c r="W387" s="159">
        <f aca="true" t="shared" si="149" ref="W387:AD387">W407</f>
        <v>0</v>
      </c>
      <c r="X387" s="18">
        <f t="shared" si="149"/>
        <v>0</v>
      </c>
      <c r="Y387" s="18">
        <f t="shared" si="149"/>
        <v>0</v>
      </c>
      <c r="Z387" s="18">
        <f t="shared" si="149"/>
        <v>0</v>
      </c>
      <c r="AA387" s="18">
        <f t="shared" si="149"/>
        <v>0</v>
      </c>
      <c r="AB387" s="18">
        <f t="shared" si="149"/>
        <v>0</v>
      </c>
      <c r="AC387" s="18">
        <f t="shared" si="149"/>
        <v>0</v>
      </c>
      <c r="AD387" s="18">
        <f t="shared" si="149"/>
        <v>0</v>
      </c>
      <c r="AF387" s="18">
        <f aca="true" t="shared" si="150" ref="AF387:AV387">AF407</f>
        <v>0</v>
      </c>
      <c r="AG387" s="18">
        <f t="shared" si="150"/>
        <v>0</v>
      </c>
      <c r="AH387" s="18">
        <f t="shared" si="150"/>
        <v>0</v>
      </c>
      <c r="AI387" s="18">
        <f t="shared" si="150"/>
        <v>0</v>
      </c>
      <c r="AJ387" s="18">
        <f t="shared" si="150"/>
        <v>0</v>
      </c>
      <c r="AK387" s="18">
        <f t="shared" si="150"/>
        <v>0</v>
      </c>
      <c r="AL387" s="18">
        <f t="shared" si="150"/>
        <v>0</v>
      </c>
      <c r="AM387" s="18">
        <f t="shared" si="150"/>
        <v>0</v>
      </c>
      <c r="AN387" s="18">
        <f t="shared" si="150"/>
        <v>0</v>
      </c>
      <c r="AO387" s="18">
        <f t="shared" si="150"/>
        <v>0</v>
      </c>
      <c r="AP387" s="18">
        <f t="shared" si="150"/>
        <v>0</v>
      </c>
      <c r="AQ387" s="18">
        <f t="shared" si="150"/>
        <v>0</v>
      </c>
      <c r="AR387" s="18">
        <f t="shared" si="150"/>
        <v>0</v>
      </c>
      <c r="AS387" s="18">
        <f t="shared" si="150"/>
        <v>0</v>
      </c>
      <c r="AT387" s="18">
        <f t="shared" si="150"/>
        <v>0</v>
      </c>
      <c r="AU387" s="18">
        <f t="shared" si="150"/>
        <v>0</v>
      </c>
      <c r="AV387" s="18">
        <f t="shared" si="150"/>
        <v>0</v>
      </c>
    </row>
    <row r="388" spans="3:48" ht="13.5" thickBot="1">
      <c r="C388" s="22" t="s">
        <v>351</v>
      </c>
      <c r="D388" s="18">
        <f>SUM(D384:D387)</f>
        <v>107.154</v>
      </c>
      <c r="E388" s="242"/>
      <c r="F388" s="243"/>
      <c r="G388" s="310">
        <f>SUM(G384:G387)</f>
        <v>69.71</v>
      </c>
      <c r="H388" s="46">
        <f>H384</f>
        <v>6.78175</v>
      </c>
      <c r="I388" s="89">
        <f>I384</f>
        <v>4.785749999999999</v>
      </c>
      <c r="J388" s="89">
        <f>J384</f>
        <v>6.72175</v>
      </c>
      <c r="K388" s="89">
        <f aca="true" t="shared" si="151" ref="K388:T388">K384</f>
        <v>9.42175</v>
      </c>
      <c r="L388" s="89">
        <f t="shared" si="151"/>
        <v>8.71275</v>
      </c>
      <c r="M388" s="89">
        <f t="shared" si="151"/>
        <v>12.366749999999998</v>
      </c>
      <c r="N388" s="89">
        <f t="shared" si="151"/>
        <v>8.867750000000001</v>
      </c>
      <c r="O388" s="89">
        <f t="shared" si="151"/>
        <v>8.18975</v>
      </c>
      <c r="P388" s="89">
        <f t="shared" si="151"/>
        <v>7.983750000000001</v>
      </c>
      <c r="Q388" s="89">
        <f t="shared" si="151"/>
        <v>7.405750000000001</v>
      </c>
      <c r="R388" s="89">
        <f t="shared" si="151"/>
        <v>7.934750000000001</v>
      </c>
      <c r="S388" s="89">
        <f t="shared" si="151"/>
        <v>17.981750000000005</v>
      </c>
      <c r="T388" s="187">
        <f t="shared" si="151"/>
        <v>80.3985</v>
      </c>
      <c r="U388" s="151"/>
      <c r="W388" s="159">
        <f>SUM(W384:W387)</f>
        <v>17.581</v>
      </c>
      <c r="X388" s="18">
        <f aca="true" t="shared" si="152" ref="X388:AD388">SUM(X384:X387)</f>
        <v>2.087</v>
      </c>
      <c r="Y388" s="18">
        <f t="shared" si="152"/>
        <v>7.852</v>
      </c>
      <c r="Z388" s="18">
        <f t="shared" si="152"/>
        <v>1.613</v>
      </c>
      <c r="AA388" s="18">
        <f t="shared" si="152"/>
        <v>15.855999999999998</v>
      </c>
      <c r="AB388" s="18">
        <f t="shared" si="152"/>
        <v>60.1593</v>
      </c>
      <c r="AC388" s="18">
        <f t="shared" si="152"/>
        <v>2.0060000000000002</v>
      </c>
      <c r="AD388" s="18">
        <f t="shared" si="152"/>
        <v>107.15429999999999</v>
      </c>
      <c r="AF388" s="18">
        <f aca="true" t="shared" si="153" ref="AF388:AU388">SUM(AF384:AF387)</f>
        <v>4.789000000000001</v>
      </c>
      <c r="AG388" s="18">
        <f t="shared" si="153"/>
        <v>0</v>
      </c>
      <c r="AH388" s="18">
        <f t="shared" si="153"/>
        <v>2.092</v>
      </c>
      <c r="AI388" s="18">
        <f t="shared" si="153"/>
        <v>2.8913000000000006</v>
      </c>
      <c r="AJ388" s="18">
        <f t="shared" si="153"/>
        <v>0.086</v>
      </c>
      <c r="AK388" s="18">
        <f t="shared" si="153"/>
        <v>2.606</v>
      </c>
      <c r="AL388" s="18">
        <f t="shared" si="153"/>
        <v>0.103</v>
      </c>
      <c r="AM388" s="18">
        <f t="shared" si="153"/>
        <v>0.7839999999999999</v>
      </c>
      <c r="AN388" s="18">
        <f t="shared" si="153"/>
        <v>1.5970000000000002</v>
      </c>
      <c r="AO388" s="18">
        <f t="shared" si="153"/>
        <v>0.8889999999999999</v>
      </c>
      <c r="AP388" s="18">
        <f t="shared" si="153"/>
        <v>4.214</v>
      </c>
      <c r="AQ388" s="18">
        <f t="shared" si="153"/>
        <v>1.9449999999999998</v>
      </c>
      <c r="AR388" s="18">
        <f t="shared" si="153"/>
        <v>0.126</v>
      </c>
      <c r="AS388" s="18">
        <f t="shared" si="153"/>
        <v>18.22</v>
      </c>
      <c r="AT388" s="18">
        <f t="shared" si="153"/>
        <v>0</v>
      </c>
      <c r="AU388" s="18">
        <f t="shared" si="153"/>
        <v>19.733999999999998</v>
      </c>
      <c r="AV388" s="18">
        <f>SUM(AV384:AV387)</f>
        <v>59.95099999999999</v>
      </c>
    </row>
    <row r="389" spans="3:48" ht="12.75">
      <c r="C389" s="143" t="s">
        <v>43</v>
      </c>
      <c r="D389" s="227"/>
      <c r="F389" s="250"/>
      <c r="G389" s="315"/>
      <c r="H389" s="6"/>
      <c r="W389" s="10"/>
      <c r="X389" s="10"/>
      <c r="Y389" s="10"/>
      <c r="Z389" s="10"/>
      <c r="AA389" s="10"/>
      <c r="AB389" s="10"/>
      <c r="AC389" s="10"/>
      <c r="AD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</row>
    <row r="390" spans="3:48" ht="12.75">
      <c r="C390" s="143" t="s">
        <v>85</v>
      </c>
      <c r="D390" s="10"/>
      <c r="E390" s="250"/>
      <c r="F390" s="250"/>
      <c r="G390" s="315"/>
      <c r="H390" s="6"/>
      <c r="W390" s="10"/>
      <c r="X390" s="10"/>
      <c r="Y390" s="10"/>
      <c r="Z390" s="10"/>
      <c r="AA390" s="10"/>
      <c r="AB390" s="10"/>
      <c r="AC390" s="10"/>
      <c r="AD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</row>
    <row r="391" spans="3:48" ht="12.75">
      <c r="C391" s="143" t="s">
        <v>662</v>
      </c>
      <c r="D391" s="10"/>
      <c r="E391" s="250"/>
      <c r="F391" s="250"/>
      <c r="G391" s="315"/>
      <c r="H391" s="6"/>
      <c r="W391" s="10"/>
      <c r="X391" s="10"/>
      <c r="Y391" s="10"/>
      <c r="Z391" s="10"/>
      <c r="AA391" s="10"/>
      <c r="AB391" s="10"/>
      <c r="AC391" s="10"/>
      <c r="AD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</row>
    <row r="392" spans="3:48" ht="12.75">
      <c r="C392" s="143" t="s">
        <v>663</v>
      </c>
      <c r="D392" s="10"/>
      <c r="E392" s="250"/>
      <c r="F392" s="250"/>
      <c r="G392" s="315"/>
      <c r="H392" s="6"/>
      <c r="W392" s="10"/>
      <c r="X392" s="10"/>
      <c r="Y392" s="10"/>
      <c r="Z392" s="10"/>
      <c r="AA392" s="10"/>
      <c r="AB392" s="10"/>
      <c r="AC392" s="10"/>
      <c r="AD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</row>
    <row r="393" spans="3:48" ht="12.75" hidden="1">
      <c r="C393" s="143"/>
      <c r="D393" s="10"/>
      <c r="E393" s="250"/>
      <c r="F393" s="250"/>
      <c r="G393" s="315"/>
      <c r="H393" s="6"/>
      <c r="W393" s="10"/>
      <c r="X393" s="10"/>
      <c r="Y393" s="10"/>
      <c r="Z393" s="10"/>
      <c r="AA393" s="10"/>
      <c r="AB393" s="10"/>
      <c r="AC393" s="10"/>
      <c r="AD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</row>
    <row r="394" spans="3:48" ht="13.5" hidden="1" thickBot="1">
      <c r="C394" s="143" t="s">
        <v>200</v>
      </c>
      <c r="D394" s="10"/>
      <c r="E394" s="250"/>
      <c r="F394" s="250"/>
      <c r="G394" s="315"/>
      <c r="H394" s="6"/>
      <c r="W394" s="10"/>
      <c r="X394" s="10"/>
      <c r="Y394" s="10"/>
      <c r="Z394" s="10"/>
      <c r="AA394" s="10"/>
      <c r="AB394" s="10"/>
      <c r="AC394" s="10"/>
      <c r="AD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</row>
    <row r="395" spans="3:48" ht="12.75" hidden="1">
      <c r="C395" s="135"/>
      <c r="D395" s="228"/>
      <c r="E395" s="251"/>
      <c r="F395" s="232"/>
      <c r="G395" s="316"/>
      <c r="H395" s="108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224"/>
      <c r="W395" s="113"/>
      <c r="X395" s="109"/>
      <c r="Y395" s="109"/>
      <c r="Z395" s="109"/>
      <c r="AA395" s="109"/>
      <c r="AB395" s="31">
        <f aca="true" t="shared" si="154" ref="AB395:AB406">SUM(AF395:AU395)</f>
        <v>0</v>
      </c>
      <c r="AC395" s="109"/>
      <c r="AD395" s="119">
        <f aca="true" t="shared" si="155" ref="AD395:AD406">SUM(W395:AC395)</f>
        <v>0</v>
      </c>
      <c r="AF395" s="121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36"/>
      <c r="AT395" s="122"/>
      <c r="AU395" s="122"/>
      <c r="AV395" s="114">
        <f>SUM(AF395:AU395)</f>
        <v>0</v>
      </c>
    </row>
    <row r="396" spans="3:48" ht="12.75" hidden="1">
      <c r="C396" s="105"/>
      <c r="D396" s="35"/>
      <c r="E396" s="246"/>
      <c r="F396" s="252"/>
      <c r="H396" s="26"/>
      <c r="W396" s="45"/>
      <c r="X396" s="10"/>
      <c r="Y396" s="10"/>
      <c r="Z396" s="10"/>
      <c r="AA396" s="10"/>
      <c r="AB396" s="29">
        <f t="shared" si="154"/>
        <v>0</v>
      </c>
      <c r="AC396" s="10"/>
      <c r="AD396" s="19">
        <f t="shared" si="155"/>
        <v>0</v>
      </c>
      <c r="AF396" s="123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30"/>
      <c r="AS396" s="16"/>
      <c r="AT396" s="16"/>
      <c r="AU396" s="16"/>
      <c r="AV396" s="115">
        <f aca="true" t="shared" si="156" ref="AV396:AV406">SUM(AF396:AU396)</f>
        <v>0</v>
      </c>
    </row>
    <row r="397" spans="3:48" ht="12.75" hidden="1">
      <c r="C397" s="105"/>
      <c r="D397" s="35"/>
      <c r="E397" s="246"/>
      <c r="F397" s="252"/>
      <c r="H397" s="26"/>
      <c r="W397" s="45"/>
      <c r="X397" s="10"/>
      <c r="Y397" s="10"/>
      <c r="Z397" s="10"/>
      <c r="AA397" s="10"/>
      <c r="AB397" s="29">
        <f t="shared" si="154"/>
        <v>0</v>
      </c>
      <c r="AC397" s="10"/>
      <c r="AD397" s="19">
        <f t="shared" si="155"/>
        <v>0</v>
      </c>
      <c r="AF397" s="123"/>
      <c r="AG397" s="16"/>
      <c r="AH397" s="16"/>
      <c r="AI397" s="30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15">
        <f t="shared" si="156"/>
        <v>0</v>
      </c>
    </row>
    <row r="398" spans="3:48" ht="12.75" hidden="1">
      <c r="C398" s="105"/>
      <c r="D398" s="35"/>
      <c r="E398" s="246"/>
      <c r="F398" s="252"/>
      <c r="H398" s="26"/>
      <c r="W398" s="45"/>
      <c r="X398" s="10"/>
      <c r="Y398" s="10"/>
      <c r="Z398" s="10"/>
      <c r="AA398" s="10"/>
      <c r="AB398" s="29">
        <f t="shared" si="154"/>
        <v>0</v>
      </c>
      <c r="AC398" s="10"/>
      <c r="AD398" s="19">
        <f t="shared" si="155"/>
        <v>0</v>
      </c>
      <c r="AF398" s="123"/>
      <c r="AG398" s="16"/>
      <c r="AH398" s="16"/>
      <c r="AI398" s="16"/>
      <c r="AJ398" s="16"/>
      <c r="AK398" s="16"/>
      <c r="AL398" s="16"/>
      <c r="AM398" s="16"/>
      <c r="AN398" s="16"/>
      <c r="AO398" s="30"/>
      <c r="AP398" s="16"/>
      <c r="AQ398" s="16"/>
      <c r="AR398" s="16"/>
      <c r="AS398" s="16"/>
      <c r="AT398" s="16"/>
      <c r="AU398" s="16"/>
      <c r="AV398" s="115">
        <f t="shared" si="156"/>
        <v>0</v>
      </c>
    </row>
    <row r="399" spans="3:48" ht="12.75" hidden="1">
      <c r="C399" s="105"/>
      <c r="D399" s="35"/>
      <c r="E399" s="246"/>
      <c r="F399" s="252"/>
      <c r="H399" s="26"/>
      <c r="W399" s="45"/>
      <c r="X399" s="10"/>
      <c r="Y399" s="10"/>
      <c r="Z399" s="10"/>
      <c r="AA399" s="10"/>
      <c r="AB399" s="29">
        <f t="shared" si="154"/>
        <v>0</v>
      </c>
      <c r="AD399" s="19">
        <f t="shared" si="155"/>
        <v>0</v>
      </c>
      <c r="AF399" s="123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15">
        <f t="shared" si="156"/>
        <v>0</v>
      </c>
    </row>
    <row r="400" spans="3:48" ht="12.75" hidden="1">
      <c r="C400" s="105"/>
      <c r="D400" s="35"/>
      <c r="E400" s="246"/>
      <c r="F400" s="252"/>
      <c r="H400" s="26"/>
      <c r="W400" s="45"/>
      <c r="X400" s="10"/>
      <c r="Y400" s="10"/>
      <c r="Z400" s="10"/>
      <c r="AA400" s="10"/>
      <c r="AB400" s="29">
        <f t="shared" si="154"/>
        <v>0</v>
      </c>
      <c r="AD400" s="19">
        <f t="shared" si="155"/>
        <v>0</v>
      </c>
      <c r="AF400" s="123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15">
        <f t="shared" si="156"/>
        <v>0</v>
      </c>
    </row>
    <row r="401" spans="3:48" ht="12.75" hidden="1">
      <c r="C401" s="105"/>
      <c r="D401" s="35"/>
      <c r="E401" s="246"/>
      <c r="F401" s="252"/>
      <c r="H401" s="26"/>
      <c r="W401" s="45"/>
      <c r="X401" s="10"/>
      <c r="Y401" s="10"/>
      <c r="Z401" s="10"/>
      <c r="AA401" s="10"/>
      <c r="AB401" s="29">
        <f t="shared" si="154"/>
        <v>0</v>
      </c>
      <c r="AC401" s="6"/>
      <c r="AD401" s="19">
        <f t="shared" si="155"/>
        <v>0</v>
      </c>
      <c r="AF401" s="123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30"/>
      <c r="AR401" s="16"/>
      <c r="AS401" s="16"/>
      <c r="AT401" s="16"/>
      <c r="AU401" s="16"/>
      <c r="AV401" s="115">
        <f t="shared" si="156"/>
        <v>0</v>
      </c>
    </row>
    <row r="402" spans="3:48" ht="12.75" hidden="1">
      <c r="C402" s="105"/>
      <c r="D402" s="35"/>
      <c r="E402" s="246"/>
      <c r="F402" s="252"/>
      <c r="H402" s="26"/>
      <c r="W402" s="45"/>
      <c r="X402" s="10"/>
      <c r="Y402" s="10"/>
      <c r="Z402" s="10"/>
      <c r="AA402" s="10"/>
      <c r="AB402" s="29">
        <f t="shared" si="154"/>
        <v>0</v>
      </c>
      <c r="AC402" s="10"/>
      <c r="AD402" s="19">
        <f t="shared" si="155"/>
        <v>0</v>
      </c>
      <c r="AF402" s="123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30"/>
      <c r="AR402" s="16"/>
      <c r="AS402" s="16"/>
      <c r="AT402" s="16"/>
      <c r="AU402" s="16"/>
      <c r="AV402" s="115">
        <f t="shared" si="156"/>
        <v>0</v>
      </c>
    </row>
    <row r="403" spans="3:48" ht="12.75" hidden="1">
      <c r="C403" s="105"/>
      <c r="D403" s="35"/>
      <c r="E403" s="246"/>
      <c r="F403" s="252"/>
      <c r="H403" s="26"/>
      <c r="W403" s="45"/>
      <c r="X403" s="10"/>
      <c r="Y403" s="10"/>
      <c r="Z403" s="10"/>
      <c r="AA403" s="10"/>
      <c r="AB403" s="29">
        <f t="shared" si="154"/>
        <v>0</v>
      </c>
      <c r="AC403" s="10"/>
      <c r="AD403" s="19">
        <f t="shared" si="155"/>
        <v>0</v>
      </c>
      <c r="AF403" s="123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30"/>
      <c r="AR403" s="16"/>
      <c r="AS403" s="16"/>
      <c r="AT403" s="16"/>
      <c r="AU403" s="16"/>
      <c r="AV403" s="115">
        <f t="shared" si="156"/>
        <v>0</v>
      </c>
    </row>
    <row r="404" spans="3:48" ht="12.75" hidden="1">
      <c r="C404" s="105"/>
      <c r="D404" s="35"/>
      <c r="E404" s="246"/>
      <c r="F404" s="252"/>
      <c r="H404" s="26"/>
      <c r="W404" s="45"/>
      <c r="X404" s="10"/>
      <c r="Y404" s="10"/>
      <c r="Z404" s="10"/>
      <c r="AA404" s="10"/>
      <c r="AB404" s="29">
        <f t="shared" si="154"/>
        <v>0</v>
      </c>
      <c r="AC404" s="10"/>
      <c r="AD404" s="19">
        <f t="shared" si="155"/>
        <v>0</v>
      </c>
      <c r="AF404" s="123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30"/>
      <c r="AV404" s="115">
        <f t="shared" si="156"/>
        <v>0</v>
      </c>
    </row>
    <row r="405" spans="3:48" ht="12.75" hidden="1">
      <c r="C405" s="105"/>
      <c r="D405" s="35"/>
      <c r="E405" s="246"/>
      <c r="F405" s="252"/>
      <c r="H405" s="26"/>
      <c r="W405" s="45"/>
      <c r="X405" s="10"/>
      <c r="Y405" s="10"/>
      <c r="Z405" s="10"/>
      <c r="AA405" s="10"/>
      <c r="AB405" s="29">
        <f t="shared" si="154"/>
        <v>0</v>
      </c>
      <c r="AD405" s="19">
        <f t="shared" si="155"/>
        <v>0</v>
      </c>
      <c r="AF405" s="123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15">
        <f t="shared" si="156"/>
        <v>0</v>
      </c>
    </row>
    <row r="406" spans="3:48" ht="13.5" hidden="1" thickBot="1">
      <c r="C406" s="137" t="s">
        <v>201</v>
      </c>
      <c r="D406" s="229"/>
      <c r="E406" s="253"/>
      <c r="F406" s="254"/>
      <c r="G406" s="317"/>
      <c r="H406" s="110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225"/>
      <c r="W406" s="116"/>
      <c r="X406" s="112"/>
      <c r="Y406" s="112"/>
      <c r="Z406" s="112"/>
      <c r="AA406" s="112"/>
      <c r="AB406" s="117">
        <f t="shared" si="154"/>
        <v>0</v>
      </c>
      <c r="AC406" s="110"/>
      <c r="AD406" s="120">
        <f t="shared" si="155"/>
        <v>0</v>
      </c>
      <c r="AF406" s="124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18">
        <f t="shared" si="156"/>
        <v>0</v>
      </c>
    </row>
    <row r="407" spans="3:48" ht="12.75" hidden="1">
      <c r="C407" s="107" t="s">
        <v>289</v>
      </c>
      <c r="D407" s="10"/>
      <c r="E407" s="250"/>
      <c r="F407" s="250"/>
      <c r="G407" s="315"/>
      <c r="H407" s="6"/>
      <c r="W407" s="10">
        <f aca="true" t="shared" si="157" ref="W407:AC407">SUM(W395:W406)</f>
        <v>0</v>
      </c>
      <c r="X407" s="10">
        <f t="shared" si="157"/>
        <v>0</v>
      </c>
      <c r="Y407" s="10">
        <f t="shared" si="157"/>
        <v>0</v>
      </c>
      <c r="Z407" s="10">
        <f t="shared" si="157"/>
        <v>0</v>
      </c>
      <c r="AA407" s="10">
        <f t="shared" si="157"/>
        <v>0</v>
      </c>
      <c r="AB407" s="10">
        <f t="shared" si="157"/>
        <v>0</v>
      </c>
      <c r="AC407" s="10">
        <f t="shared" si="157"/>
        <v>0</v>
      </c>
      <c r="AD407" s="10">
        <f>ROUND(SUM(AD395:AD406),3)</f>
        <v>0</v>
      </c>
      <c r="AF407" s="10">
        <f>SUM(AF395:AF406)</f>
        <v>0</v>
      </c>
      <c r="AG407" s="10">
        <f aca="true" t="shared" si="158" ref="AG407:AV407">SUM(AG395:AG406)</f>
        <v>0</v>
      </c>
      <c r="AH407" s="10">
        <f t="shared" si="158"/>
        <v>0</v>
      </c>
      <c r="AI407" s="10">
        <f t="shared" si="158"/>
        <v>0</v>
      </c>
      <c r="AJ407" s="10">
        <f t="shared" si="158"/>
        <v>0</v>
      </c>
      <c r="AK407" s="10">
        <f t="shared" si="158"/>
        <v>0</v>
      </c>
      <c r="AL407" s="10">
        <f t="shared" si="158"/>
        <v>0</v>
      </c>
      <c r="AM407" s="10">
        <f t="shared" si="158"/>
        <v>0</v>
      </c>
      <c r="AN407" s="10">
        <f t="shared" si="158"/>
        <v>0</v>
      </c>
      <c r="AO407" s="10">
        <f t="shared" si="158"/>
        <v>0</v>
      </c>
      <c r="AP407" s="10">
        <f t="shared" si="158"/>
        <v>0</v>
      </c>
      <c r="AQ407" s="10">
        <f t="shared" si="158"/>
        <v>0</v>
      </c>
      <c r="AR407" s="10">
        <f t="shared" si="158"/>
        <v>0</v>
      </c>
      <c r="AS407" s="10">
        <f t="shared" si="158"/>
        <v>0</v>
      </c>
      <c r="AT407" s="10">
        <f t="shared" si="158"/>
        <v>0</v>
      </c>
      <c r="AU407" s="10">
        <f t="shared" si="158"/>
        <v>0</v>
      </c>
      <c r="AV407" s="10">
        <f t="shared" si="158"/>
        <v>0</v>
      </c>
    </row>
    <row r="408" spans="3:48" ht="12.75" hidden="1">
      <c r="C408" s="107"/>
      <c r="D408" s="10"/>
      <c r="E408" s="250"/>
      <c r="F408" s="250"/>
      <c r="G408" s="315"/>
      <c r="H408" s="6"/>
      <c r="W408" s="10"/>
      <c r="X408" s="10"/>
      <c r="Y408" s="10"/>
      <c r="Z408" s="10"/>
      <c r="AA408" s="10"/>
      <c r="AB408" s="10"/>
      <c r="AC408" s="10"/>
      <c r="AD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</row>
    <row r="409" spans="3:48" ht="12.75" hidden="1">
      <c r="C409" s="107"/>
      <c r="D409" s="10"/>
      <c r="E409" s="250"/>
      <c r="F409" s="250"/>
      <c r="G409" s="315"/>
      <c r="H409" s="6"/>
      <c r="W409" s="10"/>
      <c r="X409" s="10"/>
      <c r="Y409" s="10"/>
      <c r="Z409" s="10"/>
      <c r="AA409" s="10"/>
      <c r="AB409" s="10"/>
      <c r="AC409" s="10"/>
      <c r="AD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</row>
    <row r="410" spans="3:48" ht="18" customHeight="1" hidden="1">
      <c r="C410" s="107" t="s">
        <v>202</v>
      </c>
      <c r="D410" s="10">
        <f>AD410</f>
        <v>107.15429999999999</v>
      </c>
      <c r="E410" s="250"/>
      <c r="F410" s="250"/>
      <c r="G410" s="315"/>
      <c r="H410" s="6"/>
      <c r="W410" s="10">
        <f aca="true" t="shared" si="159" ref="W410:AD410">W407+W384</f>
        <v>10.581</v>
      </c>
      <c r="X410" s="10">
        <f t="shared" si="159"/>
        <v>2.087</v>
      </c>
      <c r="Y410" s="10">
        <f t="shared" si="159"/>
        <v>7.852</v>
      </c>
      <c r="Z410" s="10">
        <f t="shared" si="159"/>
        <v>1.613</v>
      </c>
      <c r="AA410" s="10">
        <f t="shared" si="159"/>
        <v>22.855999999999998</v>
      </c>
      <c r="AB410" s="10">
        <f t="shared" si="159"/>
        <v>60.1593</v>
      </c>
      <c r="AC410" s="10">
        <f t="shared" si="159"/>
        <v>2.0060000000000002</v>
      </c>
      <c r="AD410" s="10">
        <f t="shared" si="159"/>
        <v>107.15429999999999</v>
      </c>
      <c r="AF410" s="10">
        <f aca="true" t="shared" si="160" ref="AF410:AV410">AF407+AF384</f>
        <v>4.789000000000001</v>
      </c>
      <c r="AG410" s="10">
        <f t="shared" si="160"/>
        <v>0</v>
      </c>
      <c r="AH410" s="10">
        <f t="shared" si="160"/>
        <v>2.092</v>
      </c>
      <c r="AI410" s="10">
        <f t="shared" si="160"/>
        <v>2.8913000000000006</v>
      </c>
      <c r="AJ410" s="10">
        <f t="shared" si="160"/>
        <v>0.086</v>
      </c>
      <c r="AK410" s="10">
        <f t="shared" si="160"/>
        <v>2.606</v>
      </c>
      <c r="AL410" s="10">
        <f t="shared" si="160"/>
        <v>0.103</v>
      </c>
      <c r="AM410" s="10">
        <f t="shared" si="160"/>
        <v>0.7839999999999999</v>
      </c>
      <c r="AN410" s="10">
        <f t="shared" si="160"/>
        <v>1.5970000000000002</v>
      </c>
      <c r="AO410" s="10">
        <f t="shared" si="160"/>
        <v>0.8889999999999999</v>
      </c>
      <c r="AP410" s="10">
        <f t="shared" si="160"/>
        <v>4.214</v>
      </c>
      <c r="AQ410" s="10">
        <f t="shared" si="160"/>
        <v>1.9449999999999998</v>
      </c>
      <c r="AR410" s="10">
        <f t="shared" si="160"/>
        <v>0.126</v>
      </c>
      <c r="AS410" s="10">
        <f t="shared" si="160"/>
        <v>18.22</v>
      </c>
      <c r="AT410" s="10">
        <f t="shared" si="160"/>
        <v>0</v>
      </c>
      <c r="AU410" s="10">
        <f t="shared" si="160"/>
        <v>19.733999999999998</v>
      </c>
      <c r="AV410" s="10">
        <f t="shared" si="160"/>
        <v>59.95099999999999</v>
      </c>
    </row>
    <row r="411" spans="3:48" ht="12.75" hidden="1">
      <c r="C411" s="107" t="s">
        <v>203</v>
      </c>
      <c r="D411" s="10" t="e">
        <f>#REF!</f>
        <v>#REF!</v>
      </c>
      <c r="E411" s="250"/>
      <c r="F411" s="250"/>
      <c r="G411" s="315"/>
      <c r="H411" s="6"/>
      <c r="W411" s="10"/>
      <c r="X411" s="10"/>
      <c r="Y411" s="10"/>
      <c r="Z411" s="10"/>
      <c r="AA411" s="10" t="e">
        <f>D411</f>
        <v>#REF!</v>
      </c>
      <c r="AB411" s="10"/>
      <c r="AC411" s="10"/>
      <c r="AD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</row>
    <row r="412" spans="3:48" ht="12.75" hidden="1">
      <c r="C412" s="107" t="s">
        <v>204</v>
      </c>
      <c r="D412" s="10" t="e">
        <f>SUM(D410:D411)</f>
        <v>#REF!</v>
      </c>
      <c r="E412" s="250"/>
      <c r="F412" s="250"/>
      <c r="G412" s="315"/>
      <c r="H412" s="6"/>
      <c r="W412" s="10">
        <f>SUM(W410:W411)</f>
        <v>10.581</v>
      </c>
      <c r="X412" s="10">
        <f aca="true" t="shared" si="161" ref="X412:AC412">SUM(X410:X411)</f>
        <v>2.087</v>
      </c>
      <c r="Y412" s="10">
        <f t="shared" si="161"/>
        <v>7.852</v>
      </c>
      <c r="Z412" s="10">
        <f t="shared" si="161"/>
        <v>1.613</v>
      </c>
      <c r="AA412" s="10" t="e">
        <f t="shared" si="161"/>
        <v>#REF!</v>
      </c>
      <c r="AB412" s="10">
        <f t="shared" si="161"/>
        <v>60.1593</v>
      </c>
      <c r="AC412" s="10">
        <f t="shared" si="161"/>
        <v>2.0060000000000002</v>
      </c>
      <c r="AD412" s="10" t="e">
        <f>SUM(W412:AC412)</f>
        <v>#REF!</v>
      </c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</row>
    <row r="413" spans="3:48" ht="12.75" hidden="1">
      <c r="C413" s="107" t="s">
        <v>349</v>
      </c>
      <c r="D413" s="10">
        <f>D388</f>
        <v>107.154</v>
      </c>
      <c r="E413" s="250"/>
      <c r="F413" s="250"/>
      <c r="G413" s="315"/>
      <c r="H413" s="6"/>
      <c r="W413" s="10"/>
      <c r="X413" s="10"/>
      <c r="Y413" s="10"/>
      <c r="Z413" s="10"/>
      <c r="AA413" s="10"/>
      <c r="AB413" s="10"/>
      <c r="AC413" s="10"/>
      <c r="AD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</row>
    <row r="414" spans="3:48" ht="12.75" hidden="1">
      <c r="C414" s="107" t="s">
        <v>205</v>
      </c>
      <c r="D414" s="10" t="e">
        <f>D412-D413</f>
        <v>#REF!</v>
      </c>
      <c r="F414" s="250"/>
      <c r="G414" s="315"/>
      <c r="H414" s="6"/>
      <c r="W414" s="10"/>
      <c r="X414" s="10"/>
      <c r="Y414" s="10"/>
      <c r="Z414" s="10"/>
      <c r="AA414" s="10"/>
      <c r="AB414" s="10"/>
      <c r="AC414" s="10"/>
      <c r="AD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</row>
    <row r="415" spans="3:48" ht="12.75" hidden="1">
      <c r="C415" s="107"/>
      <c r="D415" s="10"/>
      <c r="E415" s="250"/>
      <c r="F415" s="250"/>
      <c r="G415" s="315"/>
      <c r="H415" s="6"/>
      <c r="W415" s="10"/>
      <c r="X415" s="10"/>
      <c r="Y415" s="10"/>
      <c r="Z415" s="10"/>
      <c r="AA415" s="10"/>
      <c r="AB415" s="10"/>
      <c r="AC415" s="10"/>
      <c r="AD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</row>
    <row r="416" spans="4:21" ht="12.75" hidden="1">
      <c r="D416" s="12"/>
      <c r="E416" s="140"/>
      <c r="F416" s="140"/>
      <c r="G416" s="318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ht="12.75" hidden="1"/>
    <row r="418" ht="12.75" hidden="1"/>
    <row r="419" ht="13.5" hidden="1" thickBot="1">
      <c r="C419" s="6" t="s">
        <v>452</v>
      </c>
    </row>
    <row r="420" spans="3:14" ht="12.75" hidden="1">
      <c r="C420" s="207"/>
      <c r="D420" s="17"/>
      <c r="E420" s="255"/>
      <c r="F420" s="255"/>
      <c r="G420" s="316"/>
      <c r="H420" s="208"/>
      <c r="I420" s="17"/>
      <c r="J420" s="17"/>
      <c r="K420" s="17"/>
      <c r="L420" s="17"/>
      <c r="M420" s="17"/>
      <c r="N420" s="209"/>
    </row>
    <row r="421" spans="3:14" ht="12.75" hidden="1">
      <c r="C421" s="210"/>
      <c r="D421" s="230"/>
      <c r="E421" s="256"/>
      <c r="F421" s="256"/>
      <c r="G421" s="319"/>
      <c r="H421" s="211"/>
      <c r="I421" s="191"/>
      <c r="J421" s="212" t="s">
        <v>434</v>
      </c>
      <c r="K421" s="212" t="s">
        <v>435</v>
      </c>
      <c r="L421" s="213" t="s">
        <v>436</v>
      </c>
      <c r="M421" s="212" t="s">
        <v>437</v>
      </c>
      <c r="N421" s="84"/>
    </row>
    <row r="422" spans="3:14" ht="12.75" hidden="1">
      <c r="C422" s="214" t="s">
        <v>329</v>
      </c>
      <c r="D422" s="230"/>
      <c r="E422" s="256"/>
      <c r="F422" s="256"/>
      <c r="G422" s="320"/>
      <c r="H422" s="215"/>
      <c r="I422" s="191"/>
      <c r="J422" s="203"/>
      <c r="K422" s="203"/>
      <c r="L422" s="203"/>
      <c r="M422" s="203"/>
      <c r="N422" s="84"/>
    </row>
    <row r="423" spans="3:14" ht="12.75" hidden="1">
      <c r="C423" s="214" t="s">
        <v>319</v>
      </c>
      <c r="D423" s="231"/>
      <c r="E423" s="257"/>
      <c r="F423" s="258"/>
      <c r="G423" s="320"/>
      <c r="H423" s="203"/>
      <c r="I423" s="192"/>
      <c r="J423" s="216"/>
      <c r="K423" s="216"/>
      <c r="L423" s="203"/>
      <c r="M423" s="203"/>
      <c r="N423" s="84"/>
    </row>
    <row r="424" spans="3:14" ht="12.75" hidden="1">
      <c r="C424" s="214" t="s">
        <v>404</v>
      </c>
      <c r="D424" s="231"/>
      <c r="E424" s="258"/>
      <c r="F424" s="258"/>
      <c r="G424" s="320"/>
      <c r="H424" s="203"/>
      <c r="I424" s="192"/>
      <c r="J424" s="216"/>
      <c r="K424" s="216"/>
      <c r="L424" s="203">
        <v>19785</v>
      </c>
      <c r="M424" s="216"/>
      <c r="N424" s="84"/>
    </row>
    <row r="425" spans="3:14" ht="12.75" hidden="1">
      <c r="C425" s="210" t="s">
        <v>285</v>
      </c>
      <c r="D425" s="230"/>
      <c r="E425" s="256"/>
      <c r="F425" s="256"/>
      <c r="G425" s="320"/>
      <c r="H425" s="211"/>
      <c r="I425" s="191"/>
      <c r="J425" s="203"/>
      <c r="K425" s="203"/>
      <c r="L425" s="203"/>
      <c r="M425" s="203"/>
      <c r="N425" s="84"/>
    </row>
    <row r="426" spans="3:14" ht="12.75" hidden="1">
      <c r="C426" s="210" t="s">
        <v>438</v>
      </c>
      <c r="D426" s="230"/>
      <c r="E426" s="257"/>
      <c r="F426" s="256"/>
      <c r="G426" s="320"/>
      <c r="H426" s="211"/>
      <c r="I426" s="191"/>
      <c r="J426" s="203"/>
      <c r="K426" s="193"/>
      <c r="L426" s="194"/>
      <c r="M426" s="195">
        <v>175989</v>
      </c>
      <c r="N426" s="84"/>
    </row>
    <row r="427" spans="3:14" ht="12.75" hidden="1">
      <c r="C427" s="210" t="s">
        <v>439</v>
      </c>
      <c r="D427" s="230"/>
      <c r="E427" s="257"/>
      <c r="F427" s="256"/>
      <c r="G427" s="320"/>
      <c r="H427" s="211"/>
      <c r="I427" s="191"/>
      <c r="J427" s="203"/>
      <c r="K427" s="196"/>
      <c r="L427" s="197"/>
      <c r="M427" s="198">
        <v>261581</v>
      </c>
      <c r="N427" s="84"/>
    </row>
    <row r="428" spans="3:14" ht="12.75" hidden="1">
      <c r="C428" s="210" t="s">
        <v>440</v>
      </c>
      <c r="D428" s="230"/>
      <c r="E428" s="257"/>
      <c r="F428" s="256"/>
      <c r="G428" s="320"/>
      <c r="H428" s="211"/>
      <c r="I428" s="191"/>
      <c r="J428" s="203"/>
      <c r="K428" s="199"/>
      <c r="L428" s="197"/>
      <c r="M428" s="200"/>
      <c r="N428" s="84"/>
    </row>
    <row r="429" spans="3:14" ht="12.75" hidden="1">
      <c r="C429" s="210" t="s">
        <v>441</v>
      </c>
      <c r="D429" s="230"/>
      <c r="E429" s="257"/>
      <c r="F429" s="256"/>
      <c r="G429" s="320"/>
      <c r="H429" s="211"/>
      <c r="I429" s="191"/>
      <c r="J429" s="203"/>
      <c r="K429" s="201"/>
      <c r="L429" s="197"/>
      <c r="M429" s="200"/>
      <c r="N429" s="84"/>
    </row>
    <row r="430" spans="3:14" ht="12.75" hidden="1">
      <c r="C430" s="210" t="s">
        <v>442</v>
      </c>
      <c r="D430" s="230"/>
      <c r="E430" s="256"/>
      <c r="F430" s="256"/>
      <c r="G430" s="320" t="s">
        <v>443</v>
      </c>
      <c r="H430" s="211"/>
      <c r="I430" s="191"/>
      <c r="J430" s="203"/>
      <c r="K430" s="199"/>
      <c r="L430" s="197"/>
      <c r="M430" s="200"/>
      <c r="N430" s="84"/>
    </row>
    <row r="431" spans="3:14" ht="12.75" hidden="1">
      <c r="C431" s="210" t="s">
        <v>444</v>
      </c>
      <c r="D431" s="230"/>
      <c r="E431" s="256"/>
      <c r="F431" s="256"/>
      <c r="G431" s="320" t="s">
        <v>445</v>
      </c>
      <c r="H431" s="211"/>
      <c r="I431" s="191"/>
      <c r="J431" s="203"/>
      <c r="K431" s="199"/>
      <c r="L431" s="197"/>
      <c r="M431" s="200"/>
      <c r="N431" s="84"/>
    </row>
    <row r="432" spans="3:14" ht="12.75" hidden="1">
      <c r="C432" s="210" t="s">
        <v>446</v>
      </c>
      <c r="D432" s="230"/>
      <c r="E432" s="256"/>
      <c r="F432" s="256"/>
      <c r="G432" s="320"/>
      <c r="H432" s="211"/>
      <c r="I432" s="191"/>
      <c r="J432" s="203"/>
      <c r="K432" s="199"/>
      <c r="L432" s="197"/>
      <c r="M432" s="200"/>
      <c r="N432" s="84"/>
    </row>
    <row r="433" spans="3:14" ht="12.75" hidden="1">
      <c r="C433" s="210" t="s">
        <v>447</v>
      </c>
      <c r="D433" s="230"/>
      <c r="E433" s="256"/>
      <c r="F433" s="256"/>
      <c r="G433" s="320"/>
      <c r="H433" s="211"/>
      <c r="I433" s="191"/>
      <c r="J433" s="203"/>
      <c r="K433" s="199"/>
      <c r="L433" s="197"/>
      <c r="M433" s="200"/>
      <c r="N433" s="84"/>
    </row>
    <row r="434" spans="3:14" ht="12.75" hidden="1">
      <c r="C434" s="210" t="s">
        <v>448</v>
      </c>
      <c r="D434" s="230"/>
      <c r="E434" s="256"/>
      <c r="F434" s="256"/>
      <c r="G434" s="320"/>
      <c r="H434" s="211"/>
      <c r="I434" s="191"/>
      <c r="J434" s="203"/>
      <c r="K434" s="199"/>
      <c r="L434" s="197"/>
      <c r="M434" s="200">
        <v>146000</v>
      </c>
      <c r="N434" s="84"/>
    </row>
    <row r="435" spans="3:14" ht="12.75" hidden="1">
      <c r="C435" s="210" t="s">
        <v>449</v>
      </c>
      <c r="D435" s="230"/>
      <c r="E435" s="256"/>
      <c r="F435" s="256"/>
      <c r="G435" s="320"/>
      <c r="H435" s="211"/>
      <c r="I435" s="191"/>
      <c r="J435" s="199">
        <v>126071.52</v>
      </c>
      <c r="K435" s="203"/>
      <c r="L435" s="197"/>
      <c r="M435" s="200"/>
      <c r="N435" s="84"/>
    </row>
    <row r="436" spans="3:14" ht="12.75" hidden="1">
      <c r="C436" s="210" t="s">
        <v>450</v>
      </c>
      <c r="D436" s="230"/>
      <c r="E436" s="256"/>
      <c r="F436" s="256"/>
      <c r="G436" s="320"/>
      <c r="H436" s="211"/>
      <c r="I436" s="191"/>
      <c r="J436" s="202">
        <v>1500</v>
      </c>
      <c r="K436" s="203"/>
      <c r="L436" s="203"/>
      <c r="M436" s="191"/>
      <c r="N436" s="84"/>
    </row>
    <row r="437" spans="3:14" ht="12.75" hidden="1">
      <c r="C437" s="210" t="s">
        <v>451</v>
      </c>
      <c r="D437" s="230"/>
      <c r="E437" s="256"/>
      <c r="F437" s="256"/>
      <c r="G437" s="320"/>
      <c r="H437" s="211"/>
      <c r="I437" s="191"/>
      <c r="J437" s="204">
        <v>8000</v>
      </c>
      <c r="K437" s="203"/>
      <c r="L437" s="205"/>
      <c r="M437" s="206"/>
      <c r="N437" s="84"/>
    </row>
    <row r="438" spans="3:14" ht="12.75" hidden="1">
      <c r="C438" s="44"/>
      <c r="N438" s="84"/>
    </row>
    <row r="439" spans="3:14" ht="12.75" hidden="1">
      <c r="C439" s="44"/>
      <c r="N439" s="84"/>
    </row>
    <row r="440" spans="3:14" ht="13.5" hidden="1" thickBot="1">
      <c r="C440" s="217"/>
      <c r="D440" s="111"/>
      <c r="E440" s="259"/>
      <c r="F440" s="259"/>
      <c r="G440" s="317"/>
      <c r="H440" s="218"/>
      <c r="I440" s="111"/>
      <c r="J440" s="111"/>
      <c r="K440" s="111"/>
      <c r="L440" s="111"/>
      <c r="M440" s="111"/>
      <c r="N440" s="219"/>
    </row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>
      <c r="AD447" s="26">
        <v>-5.934</v>
      </c>
    </row>
    <row r="448" ht="12.75" hidden="1">
      <c r="AD448" s="26">
        <f>SUM(AD447:AD447)</f>
        <v>-5.934</v>
      </c>
    </row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>
      <c r="H460" s="6"/>
    </row>
    <row r="461" ht="12.75" hidden="1">
      <c r="H461" s="6"/>
    </row>
    <row r="462" ht="12.75" hidden="1">
      <c r="H462" s="6"/>
    </row>
    <row r="463" ht="12.75" hidden="1">
      <c r="H463" s="6"/>
    </row>
    <row r="464" ht="12.75" hidden="1">
      <c r="H464" s="6"/>
    </row>
    <row r="465" ht="12.75" hidden="1">
      <c r="H465" s="6"/>
    </row>
    <row r="466" ht="12.75" hidden="1">
      <c r="H466" s="6"/>
    </row>
    <row r="467" ht="12.75" hidden="1">
      <c r="H467" s="6"/>
    </row>
    <row r="468" ht="12.75" hidden="1">
      <c r="H468" s="6"/>
    </row>
    <row r="469" spans="8:22" ht="12.75" hidden="1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26"/>
    </row>
    <row r="470" spans="8:22" ht="12.75" hidden="1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26"/>
    </row>
    <row r="471" spans="8:22" ht="12.75" hidden="1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26"/>
    </row>
    <row r="472" spans="8:22" ht="12.75" hidden="1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26"/>
    </row>
    <row r="473" spans="8:22" ht="12.75" hidden="1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26"/>
    </row>
    <row r="474" ht="12.75" hidden="1">
      <c r="H474" s="6"/>
    </row>
    <row r="475" ht="12.75" hidden="1">
      <c r="H475" s="6"/>
    </row>
    <row r="476" ht="12.75" hidden="1">
      <c r="H476" s="6"/>
    </row>
    <row r="477" ht="12.75" hidden="1">
      <c r="H477" s="6"/>
    </row>
    <row r="478" ht="12.75" hidden="1">
      <c r="H478" s="6"/>
    </row>
    <row r="479" ht="12.75" hidden="1">
      <c r="H479" s="6"/>
    </row>
    <row r="480" ht="12.75" hidden="1">
      <c r="H480" s="6"/>
    </row>
    <row r="481" ht="12.75" hidden="1">
      <c r="H481" s="6"/>
    </row>
    <row r="482" ht="12.75" hidden="1">
      <c r="H482" s="6"/>
    </row>
    <row r="483" ht="12.75" hidden="1">
      <c r="H483" s="6"/>
    </row>
    <row r="484" ht="12.75" hidden="1">
      <c r="H484" s="6"/>
    </row>
    <row r="485" ht="12.75" hidden="1">
      <c r="H485" s="6"/>
    </row>
    <row r="486" ht="12.75" hidden="1">
      <c r="H486" s="6"/>
    </row>
    <row r="487" ht="12.75" hidden="1">
      <c r="H487" s="6"/>
    </row>
    <row r="488" ht="12.75" hidden="1">
      <c r="H488" s="6"/>
    </row>
    <row r="489" ht="12.75" hidden="1">
      <c r="H489" s="6"/>
    </row>
    <row r="490" ht="12.75" hidden="1">
      <c r="H490" s="6"/>
    </row>
    <row r="491" ht="12.75" hidden="1">
      <c r="H491" s="6"/>
    </row>
    <row r="492" ht="12.75" hidden="1">
      <c r="H492" s="6"/>
    </row>
    <row r="493" ht="12.75" hidden="1">
      <c r="H493" s="6"/>
    </row>
    <row r="494" ht="12.75" hidden="1">
      <c r="H494" s="6"/>
    </row>
    <row r="495" ht="12.75" hidden="1">
      <c r="H495" s="6"/>
    </row>
    <row r="496" ht="12.75" hidden="1">
      <c r="H496" s="6"/>
    </row>
    <row r="497" ht="12.75" hidden="1">
      <c r="H497" s="6"/>
    </row>
    <row r="498" ht="12.75" hidden="1">
      <c r="H498" s="6"/>
    </row>
    <row r="499" ht="12.75" hidden="1">
      <c r="H499" s="6"/>
    </row>
    <row r="500" ht="12.75" hidden="1">
      <c r="H500" s="6"/>
    </row>
    <row r="501" ht="12.75" hidden="1">
      <c r="H501" s="6"/>
    </row>
    <row r="502" ht="12.75" hidden="1">
      <c r="H502" s="6"/>
    </row>
    <row r="503" ht="12.75" hidden="1">
      <c r="H503" s="6"/>
    </row>
    <row r="504" ht="12.75" hidden="1">
      <c r="H504" s="6"/>
    </row>
    <row r="505" ht="12.75" hidden="1">
      <c r="H505" s="6"/>
    </row>
    <row r="506" ht="12.75" hidden="1">
      <c r="H506" s="6"/>
    </row>
    <row r="507" ht="12.75" hidden="1">
      <c r="H507" s="6"/>
    </row>
    <row r="508" ht="12.75" hidden="1">
      <c r="H508" s="6"/>
    </row>
    <row r="509" ht="12.75" hidden="1">
      <c r="H509" s="6"/>
    </row>
    <row r="510" ht="12.75" hidden="1">
      <c r="H510" s="6"/>
    </row>
    <row r="511" ht="12.75" hidden="1">
      <c r="H511" s="6"/>
    </row>
    <row r="512" ht="12.75" hidden="1">
      <c r="H512" s="6"/>
    </row>
    <row r="513" ht="12.75" hidden="1">
      <c r="H513" s="6"/>
    </row>
    <row r="514" ht="12.75" hidden="1">
      <c r="H514" s="6"/>
    </row>
    <row r="515" ht="12.75" hidden="1">
      <c r="H515" s="6"/>
    </row>
    <row r="516" ht="12.75" hidden="1">
      <c r="H516" s="6"/>
    </row>
    <row r="517" ht="12.75" hidden="1">
      <c r="H517" s="6"/>
    </row>
    <row r="518" ht="12.75" hidden="1">
      <c r="H518" s="6"/>
    </row>
    <row r="519" ht="12.75" hidden="1">
      <c r="H519" s="6"/>
    </row>
    <row r="520" ht="12.75" hidden="1">
      <c r="H520" s="6"/>
    </row>
    <row r="521" ht="12.75" hidden="1">
      <c r="H521" s="6"/>
    </row>
    <row r="522" ht="12.75" hidden="1">
      <c r="H522" s="6"/>
    </row>
    <row r="523" ht="12.75" hidden="1">
      <c r="H523" s="6"/>
    </row>
    <row r="524" ht="12.75" hidden="1">
      <c r="H524" s="6"/>
    </row>
    <row r="525" ht="12.75" hidden="1">
      <c r="H525" s="6"/>
    </row>
    <row r="526" ht="12.75" hidden="1">
      <c r="H526" s="6"/>
    </row>
    <row r="527" ht="12.75" hidden="1">
      <c r="H527" s="6"/>
    </row>
    <row r="528" ht="12.75" hidden="1">
      <c r="H528" s="6"/>
    </row>
    <row r="529" ht="12.75" hidden="1">
      <c r="H529" s="6"/>
    </row>
    <row r="530" ht="12.75" hidden="1">
      <c r="H530" s="6"/>
    </row>
    <row r="531" ht="12.75" hidden="1">
      <c r="H531" s="6"/>
    </row>
    <row r="532" ht="12.75" hidden="1">
      <c r="H532" s="6"/>
    </row>
    <row r="533" ht="12.75" hidden="1">
      <c r="H533" s="6"/>
    </row>
    <row r="534" ht="12.75" hidden="1">
      <c r="H534" s="6"/>
    </row>
    <row r="535" ht="12.75" hidden="1">
      <c r="H535" s="6"/>
    </row>
    <row r="536" ht="12.75" hidden="1">
      <c r="H536" s="6"/>
    </row>
    <row r="537" ht="12.75" hidden="1">
      <c r="H537" s="6"/>
    </row>
    <row r="538" ht="12.75" hidden="1">
      <c r="H538" s="6"/>
    </row>
    <row r="539" ht="12.75" hidden="1">
      <c r="H539" s="6"/>
    </row>
    <row r="540" ht="12.75" hidden="1">
      <c r="H540" s="6"/>
    </row>
    <row r="541" ht="12.75" hidden="1">
      <c r="H541" s="6"/>
    </row>
    <row r="542" ht="12.75" hidden="1">
      <c r="H542" s="6"/>
    </row>
    <row r="543" ht="12.75" hidden="1">
      <c r="H543" s="6"/>
    </row>
    <row r="544" ht="12.75" hidden="1">
      <c r="H544" s="6"/>
    </row>
    <row r="545" ht="12.75" hidden="1">
      <c r="H545" s="6"/>
    </row>
    <row r="546" ht="12.75" hidden="1">
      <c r="H546" s="6"/>
    </row>
    <row r="547" ht="12.75" hidden="1">
      <c r="H547" s="6"/>
    </row>
    <row r="548" ht="12.75" hidden="1">
      <c r="H548" s="6"/>
    </row>
    <row r="549" ht="12.75" hidden="1">
      <c r="H549" s="6"/>
    </row>
    <row r="550" ht="12.75" hidden="1">
      <c r="H550" s="6"/>
    </row>
    <row r="551" ht="12.75" hidden="1">
      <c r="H551" s="6"/>
    </row>
    <row r="552" ht="12.75" hidden="1">
      <c r="H552" s="6"/>
    </row>
    <row r="553" ht="12.75" hidden="1">
      <c r="H553" s="6"/>
    </row>
    <row r="554" ht="12.75" hidden="1">
      <c r="H554" s="6"/>
    </row>
    <row r="555" ht="12.75" hidden="1">
      <c r="H555" s="6"/>
    </row>
    <row r="556" ht="12.75" hidden="1">
      <c r="H556" s="6"/>
    </row>
    <row r="557" ht="12.75" hidden="1">
      <c r="H557" s="6"/>
    </row>
    <row r="558" ht="12.75" hidden="1">
      <c r="H558" s="6"/>
    </row>
    <row r="559" ht="12.75" hidden="1">
      <c r="H559" s="6"/>
    </row>
    <row r="560" ht="12.75" hidden="1">
      <c r="H560" s="6"/>
    </row>
    <row r="561" ht="12.75" hidden="1">
      <c r="H561" s="6"/>
    </row>
    <row r="562" ht="12.75" hidden="1">
      <c r="H562" s="6"/>
    </row>
    <row r="563" ht="12.75" hidden="1">
      <c r="H563" s="6"/>
    </row>
    <row r="564" ht="12.75" hidden="1">
      <c r="H564" s="6"/>
    </row>
    <row r="565" ht="12.75" hidden="1">
      <c r="H565" s="6"/>
    </row>
    <row r="566" ht="12.75" hidden="1">
      <c r="H566" s="6"/>
    </row>
    <row r="567" ht="12.75" hidden="1">
      <c r="H567" s="6"/>
    </row>
    <row r="568" ht="12.75" hidden="1">
      <c r="H568" s="6"/>
    </row>
    <row r="569" ht="12.75" hidden="1">
      <c r="H569" s="6"/>
    </row>
    <row r="570" ht="12.75" hidden="1">
      <c r="H570" s="6"/>
    </row>
    <row r="571" ht="12.75" hidden="1">
      <c r="H571" s="6"/>
    </row>
    <row r="572" ht="12.75" hidden="1">
      <c r="H572" s="6"/>
    </row>
    <row r="573" ht="12.75" hidden="1">
      <c r="H573" s="6"/>
    </row>
    <row r="574" ht="12.75" hidden="1">
      <c r="H574" s="6"/>
    </row>
    <row r="575" ht="12.75" hidden="1">
      <c r="H575" s="6"/>
    </row>
    <row r="576" ht="12.75" hidden="1">
      <c r="H576" s="6"/>
    </row>
    <row r="577" ht="12.75" hidden="1">
      <c r="H577" s="6"/>
    </row>
    <row r="578" ht="12.75" hidden="1">
      <c r="H578" s="6"/>
    </row>
    <row r="579" ht="12.75" hidden="1">
      <c r="H579" s="6"/>
    </row>
    <row r="580" ht="12.75" hidden="1">
      <c r="H580" s="6"/>
    </row>
    <row r="581" ht="12.75" hidden="1">
      <c r="H581" s="6"/>
    </row>
    <row r="582" ht="12.75" hidden="1">
      <c r="H582" s="6"/>
    </row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80" ht="12.75"/>
    <row r="781" ht="12.75"/>
    <row r="782" ht="12.75"/>
    <row r="783" ht="12.75"/>
    <row r="784" ht="12.75"/>
    <row r="785" ht="12.75"/>
    <row r="786" ht="12.75"/>
  </sheetData>
  <mergeCells count="2">
    <mergeCell ref="E2:F2"/>
    <mergeCell ref="H2:S2"/>
  </mergeCells>
  <printOptions/>
  <pageMargins left="0.4330708661417323" right="0" top="0.5905511811023623" bottom="0" header="0.11811023622047245" footer="0"/>
  <pageSetup fitToHeight="2" horizontalDpi="300" verticalDpi="300" orientation="landscape" paperSize="9" scale="65" r:id="rId3"/>
  <headerFooter alignWithMargins="0">
    <oddHeader>&amp;C&amp;"Arial,Bold"&amp;U2005/06 CAPITAL PROGRAMME&amp;R&amp;"Arial,Bold"&amp;UAppendix 1</oddHeader>
  </headerFooter>
  <rowBreaks count="6" manualBreakCount="6">
    <brk id="35" max="255" man="1"/>
    <brk id="89" max="255" man="1"/>
    <brk id="140" min="2" max="55" man="1"/>
    <brk id="171" max="255" man="1"/>
    <brk id="219" max="255" man="1"/>
    <brk id="356" min="2" max="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H94"/>
  <sheetViews>
    <sheetView showGridLines="0" workbookViewId="0" topLeftCell="A22">
      <selection activeCell="A1" sqref="A1"/>
    </sheetView>
  </sheetViews>
  <sheetFormatPr defaultColWidth="9.140625" defaultRowHeight="12.75"/>
  <cols>
    <col min="1" max="1" width="5.7109375" style="48" customWidth="1"/>
    <col min="2" max="2" width="40.7109375" style="48" customWidth="1"/>
    <col min="3" max="3" width="9.7109375" style="48" customWidth="1"/>
    <col min="4" max="4" width="3.140625" style="48" customWidth="1"/>
    <col min="5" max="5" width="7.140625" style="49" customWidth="1"/>
    <col min="6" max="6" width="9.28125" style="48" customWidth="1"/>
    <col min="7" max="7" width="11.421875" style="48" customWidth="1"/>
    <col min="8" max="8" width="24.7109375" style="48" bestFit="1" customWidth="1"/>
    <col min="9" max="9" width="6.8515625" style="48" customWidth="1"/>
    <col min="10" max="21" width="5.7109375" style="48" customWidth="1"/>
    <col min="22" max="16384" width="9.140625" style="20" customWidth="1"/>
  </cols>
  <sheetData>
    <row r="1" ht="12.75"/>
    <row r="2" spans="2:7" ht="12.75">
      <c r="B2" s="2"/>
      <c r="G2" s="50"/>
    </row>
    <row r="3" ht="7.5" customHeight="1"/>
    <row r="4" spans="2:4" ht="12.75">
      <c r="B4" s="1" t="s">
        <v>212</v>
      </c>
      <c r="D4" s="51"/>
    </row>
    <row r="5" spans="3:4" ht="6.75" customHeight="1">
      <c r="C5" s="51"/>
      <c r="D5" s="51"/>
    </row>
    <row r="6" ht="10.5" customHeight="1"/>
    <row r="7" spans="2:8" ht="12.75">
      <c r="B7" s="52"/>
      <c r="C7" s="1" t="s">
        <v>271</v>
      </c>
      <c r="D7" s="1"/>
      <c r="F7" s="1" t="s">
        <v>272</v>
      </c>
      <c r="G7" s="53"/>
      <c r="H7" s="1"/>
    </row>
    <row r="8" spans="2:8" ht="12.75">
      <c r="B8" s="2"/>
      <c r="C8" s="1" t="s">
        <v>273</v>
      </c>
      <c r="D8" s="1"/>
      <c r="E8" s="1" t="s">
        <v>288</v>
      </c>
      <c r="F8" s="1" t="s">
        <v>274</v>
      </c>
      <c r="G8" s="2"/>
      <c r="H8" s="2"/>
    </row>
    <row r="9" spans="2:8" ht="12.75">
      <c r="B9" s="2"/>
      <c r="C9" s="1" t="s">
        <v>275</v>
      </c>
      <c r="D9" s="1"/>
      <c r="E9" s="1" t="s">
        <v>287</v>
      </c>
      <c r="F9" s="1" t="s">
        <v>276</v>
      </c>
      <c r="G9" s="2"/>
      <c r="H9" s="2"/>
    </row>
    <row r="10" spans="2:8" ht="9.75" customHeight="1">
      <c r="B10" s="2"/>
      <c r="C10" s="2"/>
      <c r="D10" s="2"/>
      <c r="E10" s="1"/>
      <c r="F10" s="2"/>
      <c r="G10" s="2"/>
      <c r="H10" s="2"/>
    </row>
    <row r="11" spans="2:8" ht="12.75">
      <c r="B11" s="54" t="s">
        <v>277</v>
      </c>
      <c r="C11" s="2"/>
      <c r="D11" s="2"/>
      <c r="E11" s="1"/>
      <c r="F11" s="2"/>
      <c r="G11" s="2"/>
      <c r="H11" s="2"/>
    </row>
    <row r="12" spans="2:8" ht="7.5" customHeight="1">
      <c r="B12" s="2"/>
      <c r="C12" s="2"/>
      <c r="D12" s="2"/>
      <c r="E12" s="1"/>
      <c r="F12" s="2"/>
      <c r="G12" s="2"/>
      <c r="H12" s="2"/>
    </row>
    <row r="13" spans="2:8" ht="12.75">
      <c r="B13" s="2" t="s">
        <v>278</v>
      </c>
      <c r="C13" s="55">
        <v>17078</v>
      </c>
      <c r="D13" s="55"/>
      <c r="E13" s="49">
        <v>25</v>
      </c>
      <c r="F13" s="56">
        <f>C13*E13/100</f>
        <v>4269.5</v>
      </c>
      <c r="G13" s="2"/>
      <c r="H13" s="2"/>
    </row>
    <row r="14" spans="2:8" ht="12.75">
      <c r="B14" s="2"/>
      <c r="C14" s="55"/>
      <c r="D14" s="55"/>
      <c r="F14" s="56"/>
      <c r="G14" s="2"/>
      <c r="H14" s="2"/>
    </row>
    <row r="15" spans="2:8" ht="12.75">
      <c r="B15" s="2" t="s">
        <v>290</v>
      </c>
      <c r="C15" s="55"/>
      <c r="D15" s="55"/>
      <c r="F15" s="56"/>
      <c r="G15" s="2"/>
      <c r="H15" s="2"/>
    </row>
    <row r="16" spans="2:8" ht="12.75">
      <c r="B16" s="48" t="s">
        <v>386</v>
      </c>
      <c r="C16" s="48">
        <v>60</v>
      </c>
      <c r="E16" s="49">
        <v>50</v>
      </c>
      <c r="F16" s="56">
        <f>C16*E16/100</f>
        <v>30</v>
      </c>
      <c r="G16" s="2"/>
      <c r="H16" s="2"/>
    </row>
    <row r="17" spans="6:8" ht="12.75">
      <c r="F17" s="56"/>
      <c r="G17" s="2"/>
      <c r="H17" s="129" t="s">
        <v>184</v>
      </c>
    </row>
    <row r="18" spans="2:8" ht="12.75">
      <c r="B18" s="57" t="s">
        <v>270</v>
      </c>
      <c r="G18" s="2"/>
      <c r="H18" s="2"/>
    </row>
    <row r="19" spans="2:8" ht="12.75">
      <c r="B19" s="58" t="s">
        <v>353</v>
      </c>
      <c r="C19" s="48">
        <v>100</v>
      </c>
      <c r="E19" s="49">
        <v>100</v>
      </c>
      <c r="F19" s="56">
        <f aca="true" t="shared" si="0" ref="F19:F25">C19*E19/100</f>
        <v>100</v>
      </c>
      <c r="G19" s="2"/>
      <c r="H19" s="2"/>
    </row>
    <row r="20" spans="2:8" ht="12.75">
      <c r="B20" s="58" t="s">
        <v>563</v>
      </c>
      <c r="C20" s="48">
        <v>14</v>
      </c>
      <c r="E20" s="49">
        <v>100</v>
      </c>
      <c r="F20" s="56">
        <f t="shared" si="0"/>
        <v>14</v>
      </c>
      <c r="G20" s="2"/>
      <c r="H20" s="2"/>
    </row>
    <row r="21" spans="2:8" ht="12.75">
      <c r="B21" s="58" t="s">
        <v>564</v>
      </c>
      <c r="C21" s="48">
        <v>85</v>
      </c>
      <c r="E21" s="49">
        <v>100</v>
      </c>
      <c r="F21" s="56">
        <f t="shared" si="0"/>
        <v>85</v>
      </c>
      <c r="G21" s="2"/>
      <c r="H21" s="2"/>
    </row>
    <row r="22" spans="2:8" ht="12.75">
      <c r="B22" s="58" t="s">
        <v>565</v>
      </c>
      <c r="C22" s="48">
        <v>206</v>
      </c>
      <c r="E22" s="49">
        <v>100</v>
      </c>
      <c r="F22" s="56">
        <f t="shared" si="0"/>
        <v>206</v>
      </c>
      <c r="G22" s="2"/>
      <c r="H22" s="2"/>
    </row>
    <row r="23" spans="2:8" ht="12.75">
      <c r="B23" s="58" t="s">
        <v>566</v>
      </c>
      <c r="C23" s="48">
        <v>715</v>
      </c>
      <c r="E23" s="49">
        <v>100</v>
      </c>
      <c r="F23" s="56">
        <f t="shared" si="0"/>
        <v>715</v>
      </c>
      <c r="G23" s="2"/>
      <c r="H23" s="2"/>
    </row>
    <row r="24" spans="2:8" ht="12.75">
      <c r="B24" s="58" t="s">
        <v>491</v>
      </c>
      <c r="C24" s="48">
        <v>134</v>
      </c>
      <c r="E24" s="49">
        <v>100</v>
      </c>
      <c r="F24" s="56">
        <f t="shared" si="0"/>
        <v>134</v>
      </c>
      <c r="G24" s="2"/>
      <c r="H24" s="2"/>
    </row>
    <row r="25" spans="2:8" ht="12.75">
      <c r="B25" s="58" t="s">
        <v>387</v>
      </c>
      <c r="C25" s="48">
        <v>50</v>
      </c>
      <c r="E25" s="49">
        <v>100</v>
      </c>
      <c r="F25" s="56">
        <f t="shared" si="0"/>
        <v>50</v>
      </c>
      <c r="G25" s="2"/>
      <c r="H25" s="2"/>
    </row>
    <row r="26" spans="7:8" ht="8.25" customHeight="1">
      <c r="G26" s="2"/>
      <c r="H26" s="2"/>
    </row>
    <row r="27" spans="2:8" ht="12.75">
      <c r="B27" s="2" t="s">
        <v>279</v>
      </c>
      <c r="C27" s="59">
        <f>SUM(C13:C25)</f>
        <v>18442</v>
      </c>
      <c r="D27" s="59"/>
      <c r="E27" s="60"/>
      <c r="F27" s="59">
        <f>SUM(F13:F25)</f>
        <v>5603.5</v>
      </c>
      <c r="G27" s="2"/>
      <c r="H27" s="2"/>
    </row>
    <row r="28" spans="2:8" ht="12.75">
      <c r="B28" s="2"/>
      <c r="C28" s="2"/>
      <c r="D28" s="2"/>
      <c r="E28" s="1"/>
      <c r="F28" s="2"/>
      <c r="G28" s="2"/>
      <c r="H28" s="2"/>
    </row>
    <row r="29" ht="12.75">
      <c r="B29" s="54" t="s">
        <v>280</v>
      </c>
    </row>
    <row r="30" ht="12.75">
      <c r="B30" s="54"/>
    </row>
    <row r="31" spans="2:6" ht="12.75">
      <c r="B31" s="2" t="s">
        <v>278</v>
      </c>
      <c r="C31" s="55">
        <f>19000-C13</f>
        <v>1922</v>
      </c>
      <c r="E31" s="49">
        <v>25</v>
      </c>
      <c r="F31" s="56">
        <f>C31*0.25</f>
        <v>480.5</v>
      </c>
    </row>
    <row r="32" ht="12.75">
      <c r="B32" s="54"/>
    </row>
    <row r="33" spans="2:6" ht="12.75">
      <c r="B33" s="2" t="s">
        <v>309</v>
      </c>
      <c r="C33" s="48">
        <v>159</v>
      </c>
      <c r="E33" s="49">
        <v>50</v>
      </c>
      <c r="F33" s="56">
        <f>C33*0.5</f>
        <v>79.5</v>
      </c>
    </row>
    <row r="34" ht="12.75">
      <c r="B34" s="54"/>
    </row>
    <row r="35" spans="2:6" ht="12.75">
      <c r="B35" s="57" t="s">
        <v>674</v>
      </c>
      <c r="C35" s="56">
        <f>2411+3242</f>
        <v>5653</v>
      </c>
      <c r="D35" s="56"/>
      <c r="E35" s="61">
        <v>100</v>
      </c>
      <c r="F35" s="48">
        <f>C35</f>
        <v>5653</v>
      </c>
    </row>
    <row r="36" spans="3:6" ht="12.75">
      <c r="C36" s="56"/>
      <c r="D36" s="56"/>
      <c r="E36" s="61"/>
      <c r="F36" s="56"/>
    </row>
    <row r="37" spans="2:6" ht="12.75">
      <c r="B37" s="2" t="s">
        <v>281</v>
      </c>
      <c r="C37" s="62">
        <f>SUM(C31:C35)</f>
        <v>7734</v>
      </c>
      <c r="D37" s="62"/>
      <c r="E37" s="63"/>
      <c r="F37" s="62">
        <f>SUM(F31:F35)</f>
        <v>6213</v>
      </c>
    </row>
    <row r="38" spans="3:6" ht="10.5" customHeight="1">
      <c r="C38" s="64"/>
      <c r="D38" s="64"/>
      <c r="E38" s="65"/>
      <c r="F38" s="64"/>
    </row>
    <row r="39" spans="2:6" ht="12.75">
      <c r="B39" s="2" t="s">
        <v>282</v>
      </c>
      <c r="C39" s="66">
        <f>C27+C37</f>
        <v>26176</v>
      </c>
      <c r="D39" s="66"/>
      <c r="E39" s="67"/>
      <c r="F39" s="66">
        <f>F27+F37</f>
        <v>11816.5</v>
      </c>
    </row>
    <row r="40" spans="3:6" ht="12.75">
      <c r="C40" s="56"/>
      <c r="D40" s="56"/>
      <c r="E40" s="61"/>
      <c r="F40" s="56"/>
    </row>
    <row r="41" spans="2:6" ht="12.75">
      <c r="B41" s="2" t="s">
        <v>317</v>
      </c>
      <c r="C41" s="56"/>
      <c r="D41" s="56"/>
      <c r="E41" s="61"/>
      <c r="F41" s="64">
        <v>500</v>
      </c>
    </row>
    <row r="42" spans="3:6" ht="12.75">
      <c r="C42" s="56"/>
      <c r="D42" s="56"/>
      <c r="E42" s="61"/>
      <c r="F42" s="56"/>
    </row>
    <row r="43" spans="2:6" ht="12.75">
      <c r="B43" s="2" t="s">
        <v>394</v>
      </c>
      <c r="C43" s="56"/>
      <c r="D43" s="56"/>
      <c r="E43" s="61"/>
      <c r="F43" s="62">
        <f>F39-F41</f>
        <v>11316.5</v>
      </c>
    </row>
    <row r="44" spans="3:6" ht="12.75">
      <c r="C44" s="56"/>
      <c r="D44" s="56"/>
      <c r="E44" s="61"/>
      <c r="F44" s="56"/>
    </row>
    <row r="45" spans="2:6" ht="12.75">
      <c r="B45" s="2" t="s">
        <v>248</v>
      </c>
      <c r="C45" s="56"/>
      <c r="D45" s="56"/>
      <c r="E45" s="61"/>
      <c r="F45" s="165">
        <v>14082</v>
      </c>
    </row>
    <row r="46" spans="2:6" ht="12.75">
      <c r="B46" s="2" t="s">
        <v>395</v>
      </c>
      <c r="C46" s="56"/>
      <c r="D46" s="56"/>
      <c r="E46" s="61"/>
      <c r="F46" s="64">
        <f>SUM(F43:F45)</f>
        <v>25398.5</v>
      </c>
    </row>
    <row r="47" spans="2:6" ht="12.75">
      <c r="B47" s="2"/>
      <c r="C47" s="56"/>
      <c r="D47" s="56"/>
      <c r="E47" s="61"/>
      <c r="F47" s="56"/>
    </row>
    <row r="48" spans="2:6" ht="12.75">
      <c r="B48" s="2" t="s">
        <v>396</v>
      </c>
      <c r="C48" s="56"/>
      <c r="D48" s="56"/>
      <c r="E48" s="61"/>
      <c r="F48" s="64">
        <f>'Appendix 1'!AA388*1000</f>
        <v>15855.999999999998</v>
      </c>
    </row>
    <row r="49" spans="2:6" ht="12.75">
      <c r="B49" s="2"/>
      <c r="C49" s="56"/>
      <c r="D49" s="56"/>
      <c r="E49" s="61"/>
      <c r="F49" s="56"/>
    </row>
    <row r="50" spans="2:7" ht="12.75">
      <c r="B50" s="2" t="s">
        <v>247</v>
      </c>
      <c r="C50" s="79"/>
      <c r="E50" s="61"/>
      <c r="F50" s="164">
        <f>F46-F48</f>
        <v>9542.500000000002</v>
      </c>
      <c r="G50" s="2"/>
    </row>
    <row r="51" spans="3:6" ht="12.75">
      <c r="C51" s="56"/>
      <c r="D51" s="56"/>
      <c r="E51" s="61"/>
      <c r="F51" s="20"/>
    </row>
    <row r="52" spans="3:6" ht="12.75">
      <c r="C52" s="56"/>
      <c r="D52" s="56"/>
      <c r="E52" s="61"/>
      <c r="F52" s="56"/>
    </row>
    <row r="53" spans="2:6" ht="12.75">
      <c r="B53" s="48" t="s">
        <v>703</v>
      </c>
      <c r="C53" s="56"/>
      <c r="D53" s="56"/>
      <c r="E53" s="61"/>
      <c r="F53" s="56"/>
    </row>
    <row r="54" spans="3:6" ht="12.75">
      <c r="C54" s="56"/>
      <c r="D54" s="56"/>
      <c r="E54" s="61"/>
      <c r="F54" s="56"/>
    </row>
    <row r="55" spans="3:6" ht="12.75">
      <c r="C55" s="56"/>
      <c r="D55" s="56"/>
      <c r="E55" s="61"/>
      <c r="F55" s="56"/>
    </row>
    <row r="56" spans="3:6" ht="12.75">
      <c r="C56" s="56"/>
      <c r="D56" s="56"/>
      <c r="E56" s="61"/>
      <c r="F56" s="56"/>
    </row>
    <row r="57" spans="3:6" ht="12.75">
      <c r="C57" s="56"/>
      <c r="D57" s="56"/>
      <c r="E57" s="61"/>
      <c r="F57" s="56"/>
    </row>
    <row r="58" spans="3:6" ht="12.75">
      <c r="C58" s="56"/>
      <c r="D58" s="56"/>
      <c r="E58" s="61"/>
      <c r="F58" s="56"/>
    </row>
    <row r="59" spans="3:6" ht="12.75">
      <c r="C59" s="56"/>
      <c r="D59" s="56"/>
      <c r="E59" s="61"/>
      <c r="F59" s="56"/>
    </row>
    <row r="60" spans="3:6" ht="12.75">
      <c r="C60" s="56"/>
      <c r="D60" s="56"/>
      <c r="E60" s="61"/>
      <c r="F60" s="56"/>
    </row>
    <row r="61" spans="3:7" ht="12.75">
      <c r="C61" s="56"/>
      <c r="D61" s="56"/>
      <c r="E61" s="61"/>
      <c r="F61" s="56"/>
      <c r="G61" s="68"/>
    </row>
    <row r="62" spans="2:6" ht="12.75">
      <c r="B62" s="69"/>
      <c r="C62" s="56"/>
      <c r="D62" s="56"/>
      <c r="E62" s="61"/>
      <c r="F62" s="56"/>
    </row>
    <row r="63" spans="2:6" ht="12.75">
      <c r="B63" s="58"/>
      <c r="C63" s="56"/>
      <c r="D63" s="56"/>
      <c r="E63" s="61"/>
      <c r="F63" s="56"/>
    </row>
    <row r="64" spans="3:6" ht="12.75">
      <c r="C64" s="56"/>
      <c r="D64" s="56"/>
      <c r="E64" s="61"/>
      <c r="F64" s="56"/>
    </row>
    <row r="65" spans="2:6" ht="12.75">
      <c r="B65" s="58"/>
      <c r="C65" s="70"/>
      <c r="D65" s="70"/>
      <c r="E65" s="61"/>
      <c r="F65" s="56"/>
    </row>
    <row r="66" spans="2:6" ht="12.75">
      <c r="B66" s="69"/>
      <c r="C66" s="70"/>
      <c r="D66" s="70"/>
      <c r="E66" s="61"/>
      <c r="F66" s="56"/>
    </row>
    <row r="67" spans="2:6" ht="12.75">
      <c r="B67" s="69"/>
      <c r="C67" s="70"/>
      <c r="D67" s="70"/>
      <c r="E67" s="61"/>
      <c r="F67" s="56"/>
    </row>
    <row r="68" spans="2:6" ht="12.75">
      <c r="B68" s="69"/>
      <c r="C68" s="70"/>
      <c r="D68" s="70"/>
      <c r="E68" s="61"/>
      <c r="F68" s="56"/>
    </row>
    <row r="69" spans="2:7" ht="12.75">
      <c r="B69" s="58"/>
      <c r="C69" s="56"/>
      <c r="D69" s="56"/>
      <c r="E69" s="61"/>
      <c r="F69" s="56"/>
      <c r="G69" s="68"/>
    </row>
    <row r="70" spans="2:6" ht="12.75">
      <c r="B70" s="69"/>
      <c r="C70" s="70"/>
      <c r="D70" s="70"/>
      <c r="E70" s="61"/>
      <c r="F70" s="56"/>
    </row>
    <row r="71" spans="2:6" ht="12.75">
      <c r="B71" s="69"/>
      <c r="C71" s="70"/>
      <c r="D71" s="70"/>
      <c r="E71" s="61"/>
      <c r="F71" s="56"/>
    </row>
    <row r="72" spans="2:6" ht="12.75">
      <c r="B72" s="69"/>
      <c r="C72" s="56"/>
      <c r="D72" s="56"/>
      <c r="E72" s="61"/>
      <c r="F72" s="56"/>
    </row>
    <row r="73" spans="2:7" ht="12.75">
      <c r="B73" s="69"/>
      <c r="C73" s="70"/>
      <c r="D73" s="70"/>
      <c r="E73" s="61"/>
      <c r="F73" s="56"/>
      <c r="G73" s="68"/>
    </row>
    <row r="74" spans="2:7" ht="12.75">
      <c r="B74" s="58"/>
      <c r="C74" s="56"/>
      <c r="D74" s="56"/>
      <c r="E74" s="61"/>
      <c r="F74" s="56"/>
      <c r="G74" s="68"/>
    </row>
    <row r="75" spans="2:7" ht="12.75">
      <c r="B75" s="58"/>
      <c r="C75" s="70"/>
      <c r="D75" s="70"/>
      <c r="E75" s="61"/>
      <c r="F75" s="56"/>
      <c r="G75" s="68"/>
    </row>
    <row r="76" spans="2:7" ht="12.75">
      <c r="B76" s="58"/>
      <c r="C76" s="56"/>
      <c r="D76" s="56"/>
      <c r="E76" s="61"/>
      <c r="F76" s="56"/>
      <c r="G76" s="68"/>
    </row>
    <row r="77" spans="2:7" ht="12.75">
      <c r="B77" s="69"/>
      <c r="C77" s="70"/>
      <c r="D77" s="70"/>
      <c r="E77" s="61"/>
      <c r="F77" s="56"/>
      <c r="G77" s="68"/>
    </row>
    <row r="78" spans="2:7" ht="12.75">
      <c r="B78" s="69"/>
      <c r="C78" s="70"/>
      <c r="D78" s="70"/>
      <c r="E78" s="61"/>
      <c r="F78" s="56"/>
      <c r="G78" s="68"/>
    </row>
    <row r="79" spans="2:7" ht="12.75">
      <c r="B79" s="58"/>
      <c r="C79" s="56"/>
      <c r="D79" s="56"/>
      <c r="E79" s="61"/>
      <c r="F79" s="56"/>
      <c r="G79" s="68"/>
    </row>
    <row r="80" spans="2:7" ht="12.75">
      <c r="B80" s="58"/>
      <c r="C80" s="56"/>
      <c r="D80" s="56"/>
      <c r="E80" s="61"/>
      <c r="F80" s="56"/>
      <c r="G80" s="68"/>
    </row>
    <row r="81" spans="2:7" ht="12.75">
      <c r="B81" s="58"/>
      <c r="C81" s="56"/>
      <c r="D81" s="56"/>
      <c r="E81" s="61"/>
      <c r="F81" s="56"/>
      <c r="G81" s="68"/>
    </row>
    <row r="82" spans="2:7" ht="12.75">
      <c r="B82" s="69"/>
      <c r="C82" s="70"/>
      <c r="D82" s="70"/>
      <c r="E82" s="61"/>
      <c r="F82" s="56"/>
      <c r="G82" s="68"/>
    </row>
    <row r="83" spans="2:7" ht="12.75">
      <c r="B83" s="58"/>
      <c r="C83" s="56"/>
      <c r="D83" s="56"/>
      <c r="E83" s="61"/>
      <c r="F83" s="56"/>
      <c r="G83" s="68"/>
    </row>
    <row r="84" spans="2:7" ht="12.75">
      <c r="B84" s="58"/>
      <c r="C84" s="56"/>
      <c r="D84" s="56"/>
      <c r="E84" s="61"/>
      <c r="F84" s="56"/>
      <c r="G84" s="68"/>
    </row>
    <row r="85" spans="2:7" ht="12.75">
      <c r="B85" s="69"/>
      <c r="C85" s="70"/>
      <c r="D85" s="70"/>
      <c r="E85" s="61"/>
      <c r="F85" s="56"/>
      <c r="G85" s="68"/>
    </row>
    <row r="86" spans="2:7" ht="12.75">
      <c r="B86" s="58"/>
      <c r="C86" s="56"/>
      <c r="D86" s="56"/>
      <c r="E86" s="61"/>
      <c r="F86" s="56"/>
      <c r="G86" s="68"/>
    </row>
    <row r="87" spans="2:7" ht="12.75">
      <c r="B87" s="58"/>
      <c r="C87" s="56"/>
      <c r="D87" s="56"/>
      <c r="E87" s="61"/>
      <c r="F87" s="56"/>
      <c r="G87" s="68"/>
    </row>
    <row r="88" spans="2:7" ht="12.75">
      <c r="B88" s="69"/>
      <c r="C88" s="70"/>
      <c r="D88" s="70"/>
      <c r="E88" s="61"/>
      <c r="F88" s="56"/>
      <c r="G88" s="68"/>
    </row>
    <row r="89" spans="2:7" ht="12.75">
      <c r="B89" s="58"/>
      <c r="C89" s="70"/>
      <c r="D89" s="70"/>
      <c r="E89" s="61"/>
      <c r="F89" s="56"/>
      <c r="G89" s="68"/>
    </row>
    <row r="90" spans="2:7" ht="12.75">
      <c r="B90" s="58"/>
      <c r="C90" s="56"/>
      <c r="D90" s="56"/>
      <c r="E90" s="61"/>
      <c r="F90" s="56"/>
      <c r="G90" s="68"/>
    </row>
    <row r="91" spans="2:7" ht="12.75">
      <c r="B91" s="58"/>
      <c r="C91" s="70"/>
      <c r="D91" s="70"/>
      <c r="E91" s="61"/>
      <c r="F91" s="56"/>
      <c r="G91" s="68"/>
    </row>
    <row r="92" spans="2:7" ht="12.75">
      <c r="B92" s="58"/>
      <c r="C92" s="70"/>
      <c r="D92" s="70"/>
      <c r="E92" s="61"/>
      <c r="F92" s="56"/>
      <c r="G92" s="68"/>
    </row>
    <row r="93" spans="2:7" ht="12.75">
      <c r="B93" s="58"/>
      <c r="C93" s="70"/>
      <c r="D93" s="70"/>
      <c r="E93" s="61"/>
      <c r="F93" s="56"/>
      <c r="G93" s="68"/>
    </row>
    <row r="94" spans="2:7" ht="12.75">
      <c r="B94" s="58"/>
      <c r="C94" s="70"/>
      <c r="D94" s="70"/>
      <c r="E94" s="61"/>
      <c r="F94" s="56"/>
      <c r="G94" s="68"/>
    </row>
  </sheetData>
  <printOptions horizontalCentered="1"/>
  <pageMargins left="0.15748031496062992" right="0.15748031496062992" top="0.3937007874015748" bottom="0.3937007874015748" header="0" footer="0.31496062992125984"/>
  <pageSetup fitToHeight="1" fitToWidth="1" horizontalDpi="300" verticalDpi="300" orientation="portrait" paperSize="9" r:id="rId3"/>
  <headerFooter alignWithMargins="0">
    <oddHeader>&amp;R&amp;"Arial,Bold"&amp;UAppendix  2</oddHeader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1"/>
  <sheetViews>
    <sheetView workbookViewId="0" topLeftCell="A1">
      <selection activeCell="C14" sqref="C14"/>
    </sheetView>
  </sheetViews>
  <sheetFormatPr defaultColWidth="9.140625" defaultRowHeight="12.75"/>
  <cols>
    <col min="1" max="1" width="45.00390625" style="98" customWidth="1"/>
    <col min="2" max="2" width="11.00390625" style="98" customWidth="1"/>
    <col min="3" max="5" width="30.7109375" style="98" customWidth="1"/>
    <col min="6" max="16384" width="9.140625" style="98" customWidth="1"/>
  </cols>
  <sheetData>
    <row r="1" ht="12.75">
      <c r="A1" s="97" t="s">
        <v>211</v>
      </c>
    </row>
    <row r="2" ht="12.75">
      <c r="A2" s="97" t="s">
        <v>182</v>
      </c>
    </row>
    <row r="4" ht="12.75">
      <c r="A4" s="20"/>
    </row>
    <row r="5" spans="1:5" ht="25.5">
      <c r="A5" s="326" t="s">
        <v>177</v>
      </c>
      <c r="B5" s="99" t="s">
        <v>178</v>
      </c>
      <c r="C5" s="326" t="s">
        <v>179</v>
      </c>
      <c r="D5" s="326" t="s">
        <v>180</v>
      </c>
      <c r="E5" s="326" t="s">
        <v>181</v>
      </c>
    </row>
    <row r="6" spans="1:5" ht="12.75">
      <c r="A6" s="327"/>
      <c r="B6" s="100" t="s">
        <v>286</v>
      </c>
      <c r="C6" s="327"/>
      <c r="D6" s="327"/>
      <c r="E6" s="327"/>
    </row>
    <row r="7" spans="1:5" ht="12" customHeight="1">
      <c r="A7" s="182" t="s">
        <v>384</v>
      </c>
      <c r="B7" s="172">
        <v>0.3</v>
      </c>
      <c r="C7" s="293" t="s">
        <v>629</v>
      </c>
      <c r="D7" s="101"/>
      <c r="E7" s="102" t="s">
        <v>113</v>
      </c>
    </row>
    <row r="8" spans="1:5" ht="12" customHeight="1">
      <c r="A8" s="182" t="s">
        <v>385</v>
      </c>
      <c r="B8" s="172">
        <v>0.5</v>
      </c>
      <c r="C8" s="292" t="s">
        <v>453</v>
      </c>
      <c r="D8" s="101"/>
      <c r="E8" s="102" t="s">
        <v>673</v>
      </c>
    </row>
    <row r="9" spans="1:5" ht="12" customHeight="1">
      <c r="A9" s="182" t="s">
        <v>630</v>
      </c>
      <c r="B9" s="172">
        <v>0.1</v>
      </c>
      <c r="C9" s="292"/>
      <c r="D9" s="101" t="s">
        <v>575</v>
      </c>
      <c r="E9" s="102" t="s">
        <v>113</v>
      </c>
    </row>
    <row r="10" spans="1:5" ht="12" customHeight="1">
      <c r="A10" s="182" t="s">
        <v>699</v>
      </c>
      <c r="B10" s="172">
        <v>3.9</v>
      </c>
      <c r="C10" s="292"/>
      <c r="D10" s="101"/>
      <c r="E10" s="102" t="s">
        <v>113</v>
      </c>
    </row>
    <row r="11" spans="1:5" ht="12" customHeight="1">
      <c r="A11" s="182" t="s">
        <v>567</v>
      </c>
      <c r="B11" s="172">
        <v>0.12</v>
      </c>
      <c r="C11" s="101"/>
      <c r="D11" s="101"/>
      <c r="E11" s="101" t="s">
        <v>113</v>
      </c>
    </row>
  </sheetData>
  <mergeCells count="4">
    <mergeCell ref="A5:A6"/>
    <mergeCell ref="C5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&amp;R&amp;"Arial,Bold"&amp;UAppendix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3:M25"/>
  <sheetViews>
    <sheetView showGridLines="0" workbookViewId="0" topLeftCell="A1">
      <selection activeCell="M18" sqref="M18"/>
    </sheetView>
  </sheetViews>
  <sheetFormatPr defaultColWidth="9.140625" defaultRowHeight="12.75"/>
  <cols>
    <col min="1" max="1" width="5.7109375" style="48" customWidth="1"/>
    <col min="2" max="2" width="12.8515625" style="48" customWidth="1"/>
    <col min="3" max="5" width="5.7109375" style="48" customWidth="1"/>
    <col min="6" max="6" width="28.28125" style="48" customWidth="1"/>
    <col min="7" max="7" width="8.140625" style="48" customWidth="1"/>
    <col min="8" max="8" width="3.421875" style="48" customWidth="1"/>
    <col min="9" max="9" width="9.7109375" style="48" customWidth="1"/>
    <col min="10" max="10" width="2.8515625" style="48" customWidth="1"/>
    <col min="11" max="11" width="8.140625" style="48" customWidth="1"/>
    <col min="12" max="12" width="2.421875" style="48" customWidth="1"/>
    <col min="13" max="13" width="37.7109375" style="48" customWidth="1"/>
    <col min="14" max="14" width="5.7109375" style="48" customWidth="1"/>
    <col min="15" max="15" width="11.8515625" style="48" customWidth="1"/>
    <col min="16" max="17" width="5.7109375" style="48" customWidth="1"/>
    <col min="18" max="16384" width="9.140625" style="20" customWidth="1"/>
  </cols>
  <sheetData>
    <row r="3" ht="12.75">
      <c r="B3" s="54" t="s">
        <v>209</v>
      </c>
    </row>
    <row r="4" ht="12.75">
      <c r="B4" s="2"/>
    </row>
    <row r="6" spans="2:13" ht="12.75">
      <c r="B6" s="54" t="s">
        <v>291</v>
      </c>
      <c r="G6" s="2"/>
      <c r="I6" s="51" t="s">
        <v>292</v>
      </c>
      <c r="J6" s="2"/>
      <c r="K6" s="2"/>
      <c r="M6" s="51" t="s">
        <v>293</v>
      </c>
    </row>
    <row r="7" spans="2:11" ht="6" customHeight="1">
      <c r="B7" s="54"/>
      <c r="G7" s="2"/>
      <c r="H7" s="1"/>
      <c r="I7" s="2"/>
      <c r="J7" s="2"/>
      <c r="K7" s="2"/>
    </row>
    <row r="8" spans="7:13" ht="12" customHeight="1">
      <c r="G8" s="51" t="s">
        <v>339</v>
      </c>
      <c r="H8" s="54"/>
      <c r="I8" s="51" t="s">
        <v>210</v>
      </c>
      <c r="J8" s="54"/>
      <c r="K8" s="51" t="s">
        <v>289</v>
      </c>
      <c r="M8" s="51" t="s">
        <v>294</v>
      </c>
    </row>
    <row r="9" spans="7:11" ht="12" customHeight="1">
      <c r="G9" s="51"/>
      <c r="H9" s="54"/>
      <c r="I9" s="51" t="s">
        <v>295</v>
      </c>
      <c r="J9" s="54"/>
      <c r="K9" s="51"/>
    </row>
    <row r="10" spans="7:11" ht="12.75">
      <c r="G10" s="1" t="s">
        <v>286</v>
      </c>
      <c r="H10" s="2"/>
      <c r="I10" s="1" t="s">
        <v>286</v>
      </c>
      <c r="J10" s="2"/>
      <c r="K10" s="1" t="s">
        <v>286</v>
      </c>
    </row>
    <row r="11" spans="7:11" ht="12.75">
      <c r="G11" s="49"/>
      <c r="I11" s="49"/>
      <c r="K11" s="49"/>
    </row>
    <row r="12" spans="2:11" ht="12.75">
      <c r="B12" s="54"/>
      <c r="G12" s="71"/>
      <c r="H12" s="50"/>
      <c r="I12" s="72"/>
      <c r="J12" s="50"/>
      <c r="K12" s="72"/>
    </row>
    <row r="13" spans="2:13" ht="12.75">
      <c r="B13" s="12" t="s">
        <v>725</v>
      </c>
      <c r="G13" s="95">
        <v>0.083</v>
      </c>
      <c r="H13" s="95"/>
      <c r="I13" s="95">
        <v>0.546</v>
      </c>
      <c r="J13" s="95"/>
      <c r="K13" s="95">
        <f>SUM(G13:I13)</f>
        <v>0.629</v>
      </c>
      <c r="M13" s="73" t="s">
        <v>337</v>
      </c>
    </row>
    <row r="14" spans="1:13" ht="12.75">
      <c r="A14" s="58"/>
      <c r="B14" s="48" t="s">
        <v>726</v>
      </c>
      <c r="G14" s="95">
        <v>0.03</v>
      </c>
      <c r="H14" s="95"/>
      <c r="I14" s="95">
        <v>0</v>
      </c>
      <c r="J14" s="95"/>
      <c r="K14" s="95">
        <f>SUM(G14:I14)</f>
        <v>0.03</v>
      </c>
      <c r="M14" s="73" t="s">
        <v>327</v>
      </c>
    </row>
    <row r="15" spans="1:13" ht="12.75">
      <c r="A15" s="58"/>
      <c r="B15" s="12" t="s">
        <v>727</v>
      </c>
      <c r="G15" s="95">
        <v>0.032</v>
      </c>
      <c r="H15" s="95"/>
      <c r="I15" s="95">
        <v>0.707</v>
      </c>
      <c r="J15" s="95"/>
      <c r="K15" s="95">
        <f>SUM(G15:I15)</f>
        <v>0.739</v>
      </c>
      <c r="M15" s="73" t="s">
        <v>337</v>
      </c>
    </row>
    <row r="16" spans="1:13" ht="12.75">
      <c r="A16" s="58"/>
      <c r="B16" s="12" t="s">
        <v>728</v>
      </c>
      <c r="G16" s="95">
        <v>0.286</v>
      </c>
      <c r="H16" s="95"/>
      <c r="I16" s="95">
        <v>0.048</v>
      </c>
      <c r="J16" s="95"/>
      <c r="K16" s="95">
        <f>SUM(G16:I16)</f>
        <v>0.33399999999999996</v>
      </c>
      <c r="M16" s="73" t="s">
        <v>729</v>
      </c>
    </row>
    <row r="17" spans="1:13" ht="12.75">
      <c r="A17" s="58"/>
      <c r="B17" s="12" t="s">
        <v>730</v>
      </c>
      <c r="G17" s="95">
        <v>0.124</v>
      </c>
      <c r="H17" s="95"/>
      <c r="I17" s="95">
        <v>0.035</v>
      </c>
      <c r="J17" s="95"/>
      <c r="K17" s="95">
        <f>SUM(G17:I17)</f>
        <v>0.159</v>
      </c>
      <c r="M17" s="73" t="s">
        <v>729</v>
      </c>
    </row>
    <row r="18" spans="7:13" ht="12.75">
      <c r="G18" s="95"/>
      <c r="H18" s="50"/>
      <c r="I18" s="95"/>
      <c r="J18" s="50"/>
      <c r="K18" s="95"/>
      <c r="M18" s="73"/>
    </row>
    <row r="19" spans="7:11" ht="13.5" thickBot="1">
      <c r="G19" s="145">
        <f>SUM(G12:G18)</f>
        <v>0.5549999999999999</v>
      </c>
      <c r="H19" s="74"/>
      <c r="I19" s="145">
        <f>SUM(I12:I18)</f>
        <v>1.336</v>
      </c>
      <c r="J19" s="74"/>
      <c r="K19" s="145">
        <f>SUM(K12:K18)</f>
        <v>1.8910000000000002</v>
      </c>
    </row>
    <row r="20" ht="13.5" thickTop="1"/>
    <row r="22" ht="12.75">
      <c r="C22" s="20"/>
    </row>
    <row r="23" ht="12.75">
      <c r="C23" s="20"/>
    </row>
    <row r="24" ht="12.75">
      <c r="C24" s="161"/>
    </row>
    <row r="25" ht="12.75">
      <c r="C25" s="161"/>
    </row>
  </sheetData>
  <printOptions/>
  <pageMargins left="0.7480314960629921" right="0.7480314960629921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&amp;R&amp;"Arial,Bold"&amp;UAppendix  4
&amp;"Arial,Regular"&amp;U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persjtaylor</cp:lastModifiedBy>
  <cp:lastPrinted>2006-02-21T08:57:33Z</cp:lastPrinted>
  <dcterms:created xsi:type="dcterms:W3CDTF">1998-11-26T10:24:39Z</dcterms:created>
  <dcterms:modified xsi:type="dcterms:W3CDTF">2006-02-23T13:27:18Z</dcterms:modified>
  <cp:category/>
  <cp:version/>
  <cp:contentType/>
  <cp:contentStatus/>
</cp:coreProperties>
</file>