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15" windowWidth="15330" windowHeight="9510" tabRatio="604" activeTab="3"/>
  </bookViews>
  <sheets>
    <sheet name="Appendix 1" sheetId="1" r:id="rId1"/>
    <sheet name="Appendix 2" sheetId="2" r:id="rId2"/>
    <sheet name="Appendix 3" sheetId="3" r:id="rId3"/>
    <sheet name="Appendix 4" sheetId="4" r:id="rId4"/>
  </sheets>
  <externalReferences>
    <externalReference r:id="rId7"/>
    <externalReference r:id="rId8"/>
  </externalReferences>
  <definedNames>
    <definedName name="ARTS___LEISURE" localSheetId="3">#REF!</definedName>
    <definedName name="ARTS___LEISURE">#REF!</definedName>
    <definedName name="Barton_Moss_Primary_School" localSheetId="3">#REF!</definedName>
    <definedName name="Barton_Moss_Primary_School">#REF!</definedName>
    <definedName name="Cadishead_Infant_Junior_School" localSheetId="3">#REF!</definedName>
    <definedName name="Cadishead_Infant_Junior_School">#REF!</definedName>
    <definedName name="CAPITAL_CHALLENGE" localSheetId="3">#REF!</definedName>
    <definedName name="CAPITAL_CHALLENGE">#REF!</definedName>
    <definedName name="COUNTRYSIDE_PARTNERSHIP" localSheetId="3">#REF!</definedName>
    <definedName name="COUNTRYSIDE_PARTNERSHIP">#REF!</definedName>
    <definedName name="EDUCATION" localSheetId="3">#REF!</definedName>
    <definedName name="EDUCATION">#REF!</definedName>
    <definedName name="ENVIRONMENTAL___CONSUMER_SERVICES" localSheetId="3">#REF!</definedName>
    <definedName name="ENVIRONMENTAL___CONSUMER_SERVICES">#REF!</definedName>
    <definedName name="FINANCE" localSheetId="3">#REF!</definedName>
    <definedName name="FINANCE">#REF!</definedName>
    <definedName name="HIGHWAYS" localSheetId="3">#REF!</definedName>
    <definedName name="HIGHWAYS">#REF!</definedName>
    <definedName name="HOUSING" localSheetId="3">#REF!</definedName>
    <definedName name="HOUSING">#REF!</definedName>
    <definedName name="MANAGEMENT_SERVICES" localSheetId="3">#REF!</definedName>
    <definedName name="MANAGEMENT_SERVICES">#REF!</definedName>
    <definedName name="POLICY___RESOURCES" localSheetId="3">#REF!</definedName>
    <definedName name="POLICY___RESOURCES">#REF!</definedName>
    <definedName name="_xlnm.Print_Area" localSheetId="0">'Appendix 1'!$C$1:$AC$940</definedName>
    <definedName name="_xlnm.Print_Area" localSheetId="1">'Appendix 2'!$B$2:$G$68</definedName>
    <definedName name="_xlnm.Print_Area" localSheetId="3">'Appendix 4'!$B$3:$M$20</definedName>
    <definedName name="_xlnm.Print_Titles" localSheetId="0">'Appendix 1'!$C:$D,'Appendix 1'!$1:$4</definedName>
    <definedName name="_xlnm.Print_Titles" localSheetId="1">'Appendix 2'!$4:$10</definedName>
    <definedName name="SINGLE_REGENERATION_BUDGET_1" localSheetId="3">#REF!</definedName>
    <definedName name="SINGLE_REGENERATION_BUDGET_1">#REF!</definedName>
    <definedName name="SINGLE_REGENERATION_BUDGET_2" localSheetId="3">#REF!</definedName>
    <definedName name="SINGLE_REGENERATION_BUDGET_2">#REF!</definedName>
    <definedName name="SINGLE_REGENERATION_BUDGET_3" localSheetId="3">#REF!</definedName>
    <definedName name="SINGLE_REGENERATION_BUDGET_3">#REF!</definedName>
    <definedName name="SOCIAL_SERVICES" localSheetId="3">#REF!</definedName>
    <definedName name="SOCIAL_SERVICES">#REF!</definedName>
  </definedNames>
  <calcPr fullCalcOnLoad="1"/>
</workbook>
</file>

<file path=xl/comments1.xml><?xml version="1.0" encoding="utf-8"?>
<comments xmlns="http://schemas.openxmlformats.org/spreadsheetml/2006/main">
  <authors>
    <author>City of Salford</author>
  </authors>
  <commentList>
    <comment ref="V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single capital pot
9001
</t>
        </r>
      </text>
    </comment>
    <comment ref="W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ringfenced
9003</t>
        </r>
      </text>
    </comment>
    <comment ref="Z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9007
COLUMN SHOWS CAP RECEIPTS REQUIRED NOT THOSE AVAILABLE</t>
        </r>
      </text>
    </comment>
    <comment ref="AG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9027
</t>
        </r>
      </text>
    </comment>
    <comment ref="AP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9029</t>
        </r>
      </text>
    </comment>
    <comment ref="AO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9057
</t>
        </r>
      </text>
    </comment>
    <comment ref="AH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9055</t>
        </r>
      </text>
    </comment>
    <comment ref="AJ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9045</t>
        </r>
      </text>
    </comment>
    <comment ref="AK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9043</t>
        </r>
      </text>
    </comment>
    <comment ref="AD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 other govt grants
9037 other grants
9039 privat sector cont
9041 other cont
</t>
        </r>
      </text>
    </comment>
    <comment ref="D76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all planned spend held  on one scheme at moment
</t>
        </r>
      </text>
    </comment>
    <comment ref="B78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included in planning level for C00059
</t>
        </r>
      </text>
    </comment>
    <comment ref="C78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need to sort a exp code for unsupported borrwoing currently it is on 9001 BCA</t>
        </r>
      </text>
    </comment>
    <comment ref="D78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.279
0.013 hope library AandL
0.024 tourist information centre
</t>
        </r>
      </text>
    </comment>
    <comment ref="D89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35k
</t>
        </r>
      </text>
    </comment>
    <comment ref="D63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5.075tsg</t>
        </r>
      </text>
    </comment>
    <comment ref="Z69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0.159 from 03/04
</t>
        </r>
      </text>
    </comment>
    <comment ref="D71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0.039 nof</t>
        </r>
      </text>
    </comment>
    <comment ref="D71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0.040NOF</t>
        </r>
      </text>
    </comment>
    <comment ref="AB69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PCT 0.037 on 2802ss</t>
        </r>
      </text>
    </comment>
    <comment ref="D76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ed rcco 37k</t>
        </r>
      </text>
    </comment>
    <comment ref="AH75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0.022</t>
        </r>
      </text>
    </comment>
    <comment ref="Y75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0.008 DS rcco</t>
        </r>
      </text>
    </comment>
    <comment ref="D75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0.030</t>
        </r>
      </text>
    </comment>
    <comment ref="D76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NOF 117k</t>
        </r>
      </text>
    </comment>
    <comment ref="D69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cap receipt 0.159</t>
        </r>
      </text>
    </comment>
    <comment ref="D75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0.003
</t>
        </r>
      </text>
    </comment>
    <comment ref="D753" authorId="0">
      <text>
        <r>
          <rPr>
            <b/>
            <sz val="8"/>
            <rFont val="Tahoma"/>
            <family val="0"/>
          </rPr>
          <t>City of Salford:
bfwd 0.025 SPACE</t>
        </r>
      </text>
    </comment>
    <comment ref="D76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47k </t>
        </r>
      </text>
    </comment>
    <comment ref="AN79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exp boundaries 0.341erdf</t>
        </r>
      </text>
    </comment>
    <comment ref="D79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0.341 erdf</t>
        </r>
      </text>
    </comment>
    <comment ref="D79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0.014</t>
        </r>
      </text>
    </comment>
    <comment ref="Z79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0.014</t>
        </r>
      </text>
    </comment>
    <comment ref="D79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NDC 0.357 </t>
        </r>
      </text>
    </comment>
    <comment ref="AT85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0.003 biffa
0.008 gmwda</t>
        </r>
      </text>
    </comment>
    <comment ref="Z89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office moves budget
</t>
        </r>
      </text>
    </comment>
    <comment ref="AH94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winton and belvedere</t>
        </r>
      </text>
    </comment>
    <comment ref="AB95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received in 04/05 apply in financing in 04/05
</t>
        </r>
      </text>
    </comment>
    <comment ref="AB94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0.176 school contributions
</t>
        </r>
      </text>
    </comment>
    <comment ref="AT95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dept of health
</t>
        </r>
      </text>
    </comment>
    <comment ref="D84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carry forward 0.629
less eccles town hall negative carry forward -.040
</t>
        </r>
      </text>
    </comment>
    <comment ref="D84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carry forward -0.04
</t>
        </r>
      </text>
    </comment>
    <comment ref="D85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carry forward 0.039</t>
        </r>
      </text>
    </comment>
    <comment ref="D87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brought forward 0.139-.004
</t>
        </r>
      </text>
    </comment>
    <comment ref="D85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0.006LIVIA
0.063 slackbrook</t>
        </r>
      </text>
    </comment>
    <comment ref="D90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0.024
</t>
        </r>
      </text>
    </comment>
    <comment ref="D86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14</t>
        </r>
      </text>
    </comment>
    <comment ref="D86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30</t>
        </r>
      </text>
    </comment>
    <comment ref="C90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to be funded from the tesco site capital receipt on its sale</t>
        </r>
      </text>
    </comment>
    <comment ref="B69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overprogramming Darrens report of 408k less 159k carry forward receipts</t>
        </r>
      </text>
    </comment>
    <comment ref="Z93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 receipts required to match spend
</t>
        </r>
      </text>
    </comment>
    <comment ref="Z89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 receipts required to match spend
</t>
        </r>
      </text>
    </comment>
    <comment ref="C89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journal spend from c00060
</t>
        </r>
      </text>
    </comment>
    <comment ref="C69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D07260-d07299</t>
        </r>
      </text>
    </comment>
    <comment ref="C934" authorId="0">
      <text>
        <r>
          <rPr>
            <sz val="8"/>
            <rFont val="Tahoma"/>
            <family val="2"/>
          </rPr>
          <t>City of Salford:
£0.250m on DDA access to buildings
0.250m on DDA highway works</t>
        </r>
        <r>
          <rPr>
            <sz val="8"/>
            <rFont val="Tahoma"/>
            <family val="0"/>
          </rPr>
          <t xml:space="preserve">
</t>
        </r>
      </text>
    </comment>
    <comment ref="D93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0.070 to social  services for community centres
</t>
        </r>
      </text>
    </comment>
    <comment ref="Y74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education and leisure
</t>
        </r>
      </text>
    </comment>
    <comment ref="D89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 spend to 05/06</t>
        </r>
      </text>
    </comment>
    <comment ref="G84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overspend funded from capital receipts?</t>
        </r>
      </text>
    </comment>
    <comment ref="Y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9011
</t>
        </r>
      </text>
    </comment>
    <comment ref="AT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</t>
        </r>
      </text>
    </comment>
    <comment ref="Z72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0.010 DAA money</t>
        </r>
      </text>
    </comment>
    <comment ref="Z71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0.070 DAA money</t>
        </r>
      </text>
    </comment>
    <comment ref="Z80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from chapel st cap receipts
</t>
        </r>
      </text>
    </comment>
    <comment ref="V69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0.050 moved to chief executives for salford central station
</t>
        </r>
      </text>
    </comment>
    <comment ref="V80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0.050 from highways block 3</t>
        </r>
      </text>
    </comment>
    <comment ref="AP76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all planned spend held  on one scheme at moment
</t>
        </r>
      </text>
    </comment>
    <comment ref="AP76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NOF 117k</t>
        </r>
      </text>
    </comment>
    <comment ref="C82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speak with Ruth Shields 2349</t>
        </r>
      </text>
    </comment>
    <comment ref="D82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slipped from 280 to 100 100 cap receipts
80 nrf
</t>
        </r>
      </text>
    </comment>
  </commentList>
</comments>
</file>

<file path=xl/comments2.xml><?xml version="1.0" encoding="utf-8"?>
<comments xmlns="http://schemas.openxmlformats.org/spreadsheetml/2006/main">
  <authors>
    <author>City of Salford</author>
  </authors>
  <commentList>
    <comment ref="C4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
LINE 5
</t>
        </r>
      </text>
    </comment>
    <comment ref="C1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1
</t>
        </r>
      </text>
    </comment>
    <comment ref="C4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2</t>
        </r>
      </text>
    </comment>
    <comment ref="C4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3
</t>
        </r>
      </text>
    </comment>
    <comment ref="C4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4</t>
        </r>
      </text>
    </comment>
    <comment ref="C5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6</t>
        </r>
      </text>
    </comment>
  </commentList>
</comments>
</file>

<file path=xl/sharedStrings.xml><?xml version="1.0" encoding="utf-8"?>
<sst xmlns="http://schemas.openxmlformats.org/spreadsheetml/2006/main" count="1850" uniqueCount="1727">
  <si>
    <t>D01075</t>
  </si>
  <si>
    <t xml:space="preserve"> Relocation Fees Eccles Town Hall </t>
  </si>
  <si>
    <t>D01080</t>
  </si>
  <si>
    <t xml:space="preserve"> CPO Inquiry Costs/ Fees </t>
  </si>
  <si>
    <t>D01100</t>
  </si>
  <si>
    <t xml:space="preserve"> Phase One </t>
  </si>
  <si>
    <t>D01101</t>
  </si>
  <si>
    <t xml:space="preserve"> Phase Two </t>
  </si>
  <si>
    <t xml:space="preserve"> Chapel Street Web Site </t>
  </si>
  <si>
    <t xml:space="preserve"> Harold Riley Archive Centre </t>
  </si>
  <si>
    <t>D02051</t>
  </si>
  <si>
    <t xml:space="preserve"> Quays Campus </t>
  </si>
  <si>
    <t>D03501</t>
  </si>
  <si>
    <t xml:space="preserve"> Pendleton Church Area Study </t>
  </si>
  <si>
    <t>D03502</t>
  </si>
  <si>
    <t xml:space="preserve"> Highway &amp; Community Safety Imp Works </t>
  </si>
  <si>
    <t>D03504</t>
  </si>
  <si>
    <t xml:space="preserve"> Site Assembly (Acquisition) </t>
  </si>
  <si>
    <t>D03506</t>
  </si>
  <si>
    <t xml:space="preserve"> Mini Bus Project </t>
  </si>
  <si>
    <t>D04006</t>
  </si>
  <si>
    <t>Claremont / Weaste street lighting</t>
  </si>
  <si>
    <t>Claremont / Weaste Weaste Clear up</t>
  </si>
  <si>
    <t>EP Street Lighting</t>
  </si>
  <si>
    <t>car park/layby</t>
  </si>
  <si>
    <t xml:space="preserve"> Clarendon Park </t>
  </si>
  <si>
    <t>D04044</t>
  </si>
  <si>
    <t xml:space="preserve"> Industrial Estates CCTV </t>
  </si>
  <si>
    <t>D05502</t>
  </si>
  <si>
    <t xml:space="preserve"> Little Moss Farm </t>
  </si>
  <si>
    <t>D06066</t>
  </si>
  <si>
    <t xml:space="preserve"> Robin Hood Sidings </t>
  </si>
  <si>
    <t>D06068</t>
  </si>
  <si>
    <t xml:space="preserve"> Granyte Acquisition </t>
  </si>
  <si>
    <t>D06069</t>
  </si>
  <si>
    <t xml:space="preserve"> Acquisition Cleminson Street </t>
  </si>
  <si>
    <t>D06101</t>
  </si>
  <si>
    <t>D06103</t>
  </si>
  <si>
    <t>D06108</t>
  </si>
  <si>
    <t>D06113</t>
  </si>
  <si>
    <t>D06114</t>
  </si>
  <si>
    <t>D07008</t>
  </si>
  <si>
    <t>D07009</t>
  </si>
  <si>
    <t>D07010</t>
  </si>
  <si>
    <t xml:space="preserve"> Office relocation The Parade </t>
  </si>
  <si>
    <t>D07011</t>
  </si>
  <si>
    <t xml:space="preserve"> OFFICE RELOCATION ST JAMES HOUSE </t>
  </si>
  <si>
    <t>D07012</t>
  </si>
  <si>
    <t xml:space="preserve"> Relocation of Tourist Information Centre </t>
  </si>
  <si>
    <t>D08026</t>
  </si>
  <si>
    <t xml:space="preserve"> Higher Broughton Regeneration Strategy </t>
  </si>
  <si>
    <t>D08029</t>
  </si>
  <si>
    <t xml:space="preserve"> Security CCTV Home Office </t>
  </si>
  <si>
    <t>D08035</t>
  </si>
  <si>
    <t xml:space="preserve"> Oakwood Section 106 </t>
  </si>
  <si>
    <t>D08038</t>
  </si>
  <si>
    <t xml:space="preserve"> Royal Chelsea Hospital Site </t>
  </si>
  <si>
    <t>w00001</t>
  </si>
  <si>
    <t>D08040</t>
  </si>
  <si>
    <t xml:space="preserve"> Salford Sports Village </t>
  </si>
  <si>
    <t>D08047</t>
  </si>
  <si>
    <t xml:space="preserve"> Wellington Employment Park </t>
  </si>
  <si>
    <t>D08053</t>
  </si>
  <si>
    <t>D08055</t>
  </si>
  <si>
    <t xml:space="preserve"> Primary School Review - Grosvenor Road </t>
  </si>
  <si>
    <t>D08056</t>
  </si>
  <si>
    <t xml:space="preserve"> Primary School Review - Wharton PS </t>
  </si>
  <si>
    <t>D08057</t>
  </si>
  <si>
    <t xml:space="preserve"> Primary School Review - Boothtown Meth't </t>
  </si>
  <si>
    <t>D08058</t>
  </si>
  <si>
    <t xml:space="preserve"> Primary School Review - St Andrews B'twn </t>
  </si>
  <si>
    <t>NET ESTIMATED RECEIPTS 04/05</t>
  </si>
  <si>
    <t>Boothstown Community Centre</t>
  </si>
  <si>
    <t>Unsupported Borrowing</t>
  </si>
  <si>
    <t>Disposal</t>
  </si>
  <si>
    <t>Estimated Receipt</t>
  </si>
  <si>
    <t>Preliminaries/Marketing</t>
  </si>
  <si>
    <t>Legal/Planning</t>
  </si>
  <si>
    <t>Completion</t>
  </si>
  <si>
    <t>Lift Sites</t>
  </si>
  <si>
    <t>Completed 01/04/2004</t>
  </si>
  <si>
    <t>Completed 08/04/2004</t>
  </si>
  <si>
    <t>Greenwood School</t>
  </si>
  <si>
    <t>Land at Oakley St</t>
  </si>
  <si>
    <t>Area 11 Trinity</t>
  </si>
  <si>
    <t>Land at Salford University</t>
  </si>
  <si>
    <t>Brentnall Primary School</t>
  </si>
  <si>
    <t>Trinity Way/Urban splash</t>
  </si>
  <si>
    <t>Quays Project Office</t>
  </si>
  <si>
    <r>
      <t>TIMESCALES-RECEIPTS IN EXCESS OF £100,000</t>
    </r>
    <r>
      <rPr>
        <sz val="10"/>
        <rFont val="Arial"/>
        <family val="2"/>
      </rPr>
      <t xml:space="preserve"> </t>
    </r>
  </si>
  <si>
    <t>A00402</t>
  </si>
  <si>
    <t>A00404</t>
  </si>
  <si>
    <t>A00405</t>
  </si>
  <si>
    <t>A00410</t>
  </si>
  <si>
    <t>A00411</t>
  </si>
  <si>
    <t>Business Security Grant</t>
  </si>
  <si>
    <t>Salford Play Resource Unit</t>
  </si>
  <si>
    <t>CCTV</t>
  </si>
  <si>
    <t>Riverside Bowling</t>
  </si>
  <si>
    <t>START 2 Healthy Options</t>
  </si>
  <si>
    <t xml:space="preserve">CAPITAL RECEIPTS 2004/05 </t>
  </si>
  <si>
    <t>June-September</t>
  </si>
  <si>
    <t>June/July</t>
  </si>
  <si>
    <t>June-October</t>
  </si>
  <si>
    <t>November-February</t>
  </si>
  <si>
    <t>completed 29/10/04</t>
  </si>
  <si>
    <t>land at Brettargh Street</t>
  </si>
  <si>
    <t>£1.145m from 03/04, 5.075 from 03/04</t>
  </si>
  <si>
    <t>S09004</t>
  </si>
  <si>
    <t>S09003</t>
  </si>
  <si>
    <t>S09001</t>
  </si>
  <si>
    <t>Beesley Green</t>
  </si>
  <si>
    <t>S04005</t>
  </si>
  <si>
    <t>Mental health SCA (2003)</t>
  </si>
  <si>
    <t>0.006 receipt carry forward from 03/04</t>
  </si>
  <si>
    <t>F00016</t>
  </si>
  <si>
    <t>F00017</t>
  </si>
  <si>
    <t>Blackleach Drive, Walkden Play Area</t>
  </si>
  <si>
    <t>section 106 11k</t>
  </si>
  <si>
    <t>section 106 24k</t>
  </si>
  <si>
    <t>F00014</t>
  </si>
  <si>
    <t>Princes Park</t>
  </si>
  <si>
    <t>community contribution on 2802es</t>
  </si>
  <si>
    <t>D01425</t>
  </si>
  <si>
    <t>D03505</t>
  </si>
  <si>
    <t>A57 Liverpool  Road, Cadishead</t>
  </si>
  <si>
    <t>D99999 7015 contains  0.159 bfwd, 0.500 highways improvement less overprogramming of 0.391</t>
  </si>
  <si>
    <t>E05015</t>
  </si>
  <si>
    <t>Clarendon Pool NOF/PE</t>
  </si>
  <si>
    <t>Efficiency improvements-Pool filters</t>
  </si>
  <si>
    <t>A21000</t>
  </si>
  <si>
    <t>General Competition Costs</t>
  </si>
  <si>
    <t>E03110</t>
  </si>
  <si>
    <t>NDS Cond Moorside CP window replacement</t>
  </si>
  <si>
    <t>E04613</t>
  </si>
  <si>
    <t>DFC Alder Park</t>
  </si>
  <si>
    <t>E04618</t>
  </si>
  <si>
    <t>DFC Broadoak</t>
  </si>
  <si>
    <t>E04639</t>
  </si>
  <si>
    <t>DFC Mesne Lea</t>
  </si>
  <si>
    <t>E04648</t>
  </si>
  <si>
    <t>DFC Seedley</t>
  </si>
  <si>
    <t>E04662</t>
  </si>
  <si>
    <t>DFC St Lukes CE</t>
  </si>
  <si>
    <t>E04667</t>
  </si>
  <si>
    <t>DFC Wardley CE</t>
  </si>
  <si>
    <t>E04674</t>
  </si>
  <si>
    <t>DFC Walkden</t>
  </si>
  <si>
    <t>E02012</t>
  </si>
  <si>
    <t>Belvedere Nursery - Community Facilities</t>
  </si>
  <si>
    <t>E02028</t>
  </si>
  <si>
    <t>Moorfield CP Fire Damage</t>
  </si>
  <si>
    <t>Physical design strategy</t>
  </si>
  <si>
    <t>0.076 other contributions</t>
  </si>
  <si>
    <t>D08063</t>
  </si>
  <si>
    <t>Eccles Car Park - Security</t>
  </si>
  <si>
    <t>A20005</t>
  </si>
  <si>
    <t>Aquarium Attraction</t>
  </si>
  <si>
    <t>E05003</t>
  </si>
  <si>
    <t>Leisure Trust Consultancy</t>
  </si>
  <si>
    <t>E05016</t>
  </si>
  <si>
    <t>Jewish Orthodox Schools NOF</t>
  </si>
  <si>
    <t>.032 reduction in scheme to reflect dev services cost centre exp in 03/04</t>
  </si>
  <si>
    <t>D06109</t>
  </si>
  <si>
    <t>D06111</t>
  </si>
  <si>
    <t>D06112</t>
  </si>
  <si>
    <t>Disposal Chasley Field</t>
  </si>
  <si>
    <t>Disposal Springfield Lane</t>
  </si>
  <si>
    <t>Works at Taylorson Street</t>
  </si>
  <si>
    <t>D06117</t>
  </si>
  <si>
    <t>Salford Shopping City</t>
  </si>
  <si>
    <t>Eccles Town Centre</t>
  </si>
  <si>
    <t>Eccles Town Hall</t>
  </si>
  <si>
    <t>Countryside Programme</t>
  </si>
  <si>
    <t>Eccles Town Hall Auditorium</t>
  </si>
  <si>
    <t>A20002</t>
  </si>
  <si>
    <t>A20006</t>
  </si>
  <si>
    <t>A20007</t>
  </si>
  <si>
    <t>SPV start up costs</t>
  </si>
  <si>
    <t>E04630</t>
  </si>
  <si>
    <t>DFC Irlam</t>
  </si>
  <si>
    <t>E04632</t>
  </si>
  <si>
    <t>DFC Langworhy Road</t>
  </si>
  <si>
    <t>E04640</t>
  </si>
  <si>
    <t>DFC Monton Green</t>
  </si>
  <si>
    <t>E04642</t>
  </si>
  <si>
    <t>DFC Moorside</t>
  </si>
  <si>
    <t>E04643</t>
  </si>
  <si>
    <t>DFC Mossfield</t>
  </si>
  <si>
    <t>E04644</t>
  </si>
  <si>
    <t>DFC North Grecian Street</t>
  </si>
  <si>
    <t>E04647</t>
  </si>
  <si>
    <t>DFC Radclyffe</t>
  </si>
  <si>
    <t>E04655</t>
  </si>
  <si>
    <t>DFC Irlam Endowed</t>
  </si>
  <si>
    <t>E04659</t>
  </si>
  <si>
    <t>DFC St Clements Egerton</t>
  </si>
  <si>
    <t>E04673</t>
  </si>
  <si>
    <t>DFC The Swinton</t>
  </si>
  <si>
    <t>E04685</t>
  </si>
  <si>
    <t>DFC Bradshaw Early Years</t>
  </si>
  <si>
    <t>E04687</t>
  </si>
  <si>
    <t>DFC Winton Early Years Centre</t>
  </si>
  <si>
    <t>E00029</t>
  </si>
  <si>
    <t>Portage Team</t>
  </si>
  <si>
    <t>E00030</t>
  </si>
  <si>
    <t>Lower Kersal Primary School</t>
  </si>
  <si>
    <t>E00514</t>
  </si>
  <si>
    <t>E03063</t>
  </si>
  <si>
    <t>NDS4 Brentnall CP - Refurbishment</t>
  </si>
  <si>
    <t>E03061</t>
  </si>
  <si>
    <t>NDS Condition Wharton CP - toilets</t>
  </si>
  <si>
    <t>E03078</t>
  </si>
  <si>
    <t xml:space="preserve">ModCon Lower Kersal PS </t>
  </si>
  <si>
    <t>E03130</t>
  </si>
  <si>
    <t>Lewis st Toilets Refurbishment</t>
  </si>
  <si>
    <t>E04614</t>
  </si>
  <si>
    <t>DFC Barton Moss</t>
  </si>
  <si>
    <t>E04615</t>
  </si>
  <si>
    <t>E04624</t>
  </si>
  <si>
    <t>DFC Beech Street</t>
  </si>
  <si>
    <t>DFC Dukesgate</t>
  </si>
  <si>
    <t>Citywide investment programme</t>
  </si>
  <si>
    <t>E03102</t>
  </si>
  <si>
    <t>NDS Cond St Pauls Peel CP</t>
  </si>
  <si>
    <t>D00171</t>
  </si>
  <si>
    <t>Camera Site Speed Surveys</t>
  </si>
  <si>
    <t>D00172</t>
  </si>
  <si>
    <t>Kersal Area Traffic Calming</t>
  </si>
  <si>
    <t>D00173</t>
  </si>
  <si>
    <t>New Lane, Winton</t>
  </si>
  <si>
    <t>D00174</t>
  </si>
  <si>
    <t>Speed Management Policy</t>
  </si>
  <si>
    <t>D00175</t>
  </si>
  <si>
    <t>Amendments to Early T Calming Schemes</t>
  </si>
  <si>
    <t>Dealing with Disadvantage Initiative</t>
  </si>
  <si>
    <t>E03119</t>
  </si>
  <si>
    <t>Lightoaks Infant Fencing</t>
  </si>
  <si>
    <t>Liverpool Rd, Cad, Speed Management</t>
  </si>
  <si>
    <t>d99999 7027 contains unallocated grouped spend</t>
  </si>
  <si>
    <t>Safer Routes to Schools Programme</t>
  </si>
  <si>
    <t>Greenleach Lane, Worsley</t>
  </si>
  <si>
    <t>D00104</t>
  </si>
  <si>
    <t>White Lining Programme</t>
  </si>
  <si>
    <t>D00105</t>
  </si>
  <si>
    <t>Road Safety Strategy</t>
  </si>
  <si>
    <t>D00111</t>
  </si>
  <si>
    <t>Westwood Park Area  - 20mph Zone</t>
  </si>
  <si>
    <t>D00119</t>
  </si>
  <si>
    <t>Barton Lane Ped Improvements</t>
  </si>
  <si>
    <t>D00121</t>
  </si>
  <si>
    <t>A6 High Street/ Campbell Way</t>
  </si>
  <si>
    <t>D00132</t>
  </si>
  <si>
    <t>Landlord Accreditation</t>
  </si>
  <si>
    <t>Solar Electic Plan</t>
  </si>
  <si>
    <t>Pendleton-SSA Masterplanning</t>
  </si>
  <si>
    <t>Underprogramming</t>
  </si>
  <si>
    <t>Broughton Park Area Scheme</t>
  </si>
  <si>
    <t>D00133</t>
  </si>
  <si>
    <t>East Lancs Rd/ Moorside Camera</t>
  </si>
  <si>
    <t>D00135</t>
  </si>
  <si>
    <t>Pendleton Roundabout</t>
  </si>
  <si>
    <t>D00139</t>
  </si>
  <si>
    <t>Hilton Lane Traffic Calming</t>
  </si>
  <si>
    <t>D00141</t>
  </si>
  <si>
    <t>Moorside Rd/Wardley Ind Estate Area Sch</t>
  </si>
  <si>
    <t>D00142</t>
  </si>
  <si>
    <t>B5229 Monton Centre Scheme</t>
  </si>
  <si>
    <t>D00143</t>
  </si>
  <si>
    <t>Cadishead NW Area Safety Scheme</t>
  </si>
  <si>
    <t>D00148</t>
  </si>
  <si>
    <t>A6 Chorley Road Route Scheme</t>
  </si>
  <si>
    <t>D00149</t>
  </si>
  <si>
    <t>Lttleton Rd Pedestrian Safety Scheme</t>
  </si>
  <si>
    <t>D00151</t>
  </si>
  <si>
    <t>A57/ M60 Peel Green Roundabout</t>
  </si>
  <si>
    <t>D00161</t>
  </si>
  <si>
    <t>Trafford Road, Eccles, Speed Management</t>
  </si>
  <si>
    <t>D00101</t>
  </si>
  <si>
    <t>Anti-skid Surfacing Programme</t>
  </si>
  <si>
    <t>-</t>
  </si>
  <si>
    <t>D00500</t>
  </si>
  <si>
    <t>Bridge Inspections and  Assessments</t>
  </si>
  <si>
    <t>D00501</t>
  </si>
  <si>
    <t>E05019</t>
  </si>
  <si>
    <t>St Ambrose Barlow NOF/PE</t>
  </si>
  <si>
    <t>F00019</t>
  </si>
  <si>
    <t>Milner St, Swinton</t>
  </si>
  <si>
    <t>A00409</t>
  </si>
  <si>
    <t>Sports Village</t>
  </si>
  <si>
    <t>Central Station</t>
  </si>
  <si>
    <t>Project Management Fees</t>
  </si>
  <si>
    <t>Project Design Fees</t>
  </si>
  <si>
    <t>A40200</t>
  </si>
  <si>
    <t>A40201</t>
  </si>
  <si>
    <t>D06110</t>
  </si>
  <si>
    <t>Disposal Buille Hill Mining Museum</t>
  </si>
  <si>
    <t>D06116</t>
  </si>
  <si>
    <t>PCL 101/115 Chapel St</t>
  </si>
  <si>
    <t>D08030</t>
  </si>
  <si>
    <t>Manchester/Bolton Canal Restoration</t>
  </si>
  <si>
    <t>D08062</t>
  </si>
  <si>
    <t>South Chapel Street - Footpath repair</t>
  </si>
  <si>
    <t>D08064</t>
  </si>
  <si>
    <t>City Academy-Verdant lane survey</t>
  </si>
  <si>
    <t>D00510</t>
  </si>
  <si>
    <t>Railtrack Assessments</t>
  </si>
  <si>
    <t>Bridges general</t>
  </si>
  <si>
    <t>D00503</t>
  </si>
  <si>
    <t>Subways</t>
  </si>
  <si>
    <t>D00504</t>
  </si>
  <si>
    <t>Agecroft Road Railway  Bridge</t>
  </si>
  <si>
    <t>D00512</t>
  </si>
  <si>
    <t>Eccles Old Road Underpass</t>
  </si>
  <si>
    <t>D00514</t>
  </si>
  <si>
    <t>Eccles Rd/ East Lancs Rd Footbridge</t>
  </si>
  <si>
    <t>D00517</t>
  </si>
  <si>
    <t>Palatine Bridge</t>
  </si>
  <si>
    <t>D00518</t>
  </si>
  <si>
    <t>Waterloo Bridge</t>
  </si>
  <si>
    <t>D00520</t>
  </si>
  <si>
    <t>Carlton Footbridge</t>
  </si>
  <si>
    <t>D00523</t>
  </si>
  <si>
    <t>Station Rd Rway Bridge - F'way Protection</t>
  </si>
  <si>
    <t>D00524</t>
  </si>
  <si>
    <t>D00527</t>
  </si>
  <si>
    <t>Culvert Safety Improvement Programme</t>
  </si>
  <si>
    <t>D00528</t>
  </si>
  <si>
    <t>Wallness Bridge</t>
  </si>
  <si>
    <t>D00529</t>
  </si>
  <si>
    <t>West Egerton Street Bridge</t>
  </si>
  <si>
    <t>D00530</t>
  </si>
  <si>
    <t>Woden Street Footbridge</t>
  </si>
  <si>
    <t>D00531</t>
  </si>
  <si>
    <t>Eccles Road Footbridge Painting</t>
  </si>
  <si>
    <t>D00532</t>
  </si>
  <si>
    <t>Hough Lane Footbridge</t>
  </si>
  <si>
    <t>D00533</t>
  </si>
  <si>
    <t>Stott Lane Railway Bridge</t>
  </si>
  <si>
    <t>D00534</t>
  </si>
  <si>
    <t>Heywood Way Subway Infill</t>
  </si>
  <si>
    <t>D00602</t>
  </si>
  <si>
    <t>A6 Chapel Street (Adelphi Street - Trinity Way)</t>
  </si>
  <si>
    <t>D00606</t>
  </si>
  <si>
    <t>A57 Liverpool Rd  (Boysnope - Barton Moss Road)</t>
  </si>
  <si>
    <t>D00608</t>
  </si>
  <si>
    <t>Principal Road Maintenance - General</t>
  </si>
  <si>
    <t>D00610</t>
  </si>
  <si>
    <t>A575 Walkden Road (Manchester Road - Park Road)</t>
  </si>
  <si>
    <t>D00612</t>
  </si>
  <si>
    <t>A6 Manchester Road (Bolton Road - Smithfold Lane)</t>
  </si>
  <si>
    <t>D00613</t>
  </si>
  <si>
    <t>A5082 Armitage Avenue (Manchester Road - Boundary)</t>
  </si>
  <si>
    <t>D00616</t>
  </si>
  <si>
    <t>A56 Bury New Road (Bury Boundary - Singleton Rd)</t>
  </si>
  <si>
    <t xml:space="preserve"> </t>
  </si>
  <si>
    <t>D00601</t>
  </si>
  <si>
    <t>A57 Liverpool Road, Cadishead</t>
  </si>
  <si>
    <t>(New Moss Road - Fir Street)</t>
  </si>
  <si>
    <t>A5066 Adelphi Street &amp; Silk Street</t>
  </si>
  <si>
    <t>A5066 Oldfield Road</t>
  </si>
  <si>
    <t>(Ordsall Lane - Regent Road)</t>
  </si>
  <si>
    <t>(Regent Road - Crescent)</t>
  </si>
  <si>
    <t>A575 Cleggs Lane</t>
  </si>
  <si>
    <t>A6 - Bolton Boundary)</t>
  </si>
  <si>
    <t>D00700</t>
  </si>
  <si>
    <t>A576 Eccles Old Road Bus Priority and Cycling Facilities</t>
  </si>
  <si>
    <t>D00701</t>
  </si>
  <si>
    <t>A57 Liverpool Rd Bus Priorities and Cycling Facilities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</si>
  <si>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</si>
  <si>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</si>
  <si>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</si>
  <si>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</si>
  <si>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</si>
  <si>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</si>
  <si>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</si>
  <si>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</si>
  <si>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</si>
  <si>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</si>
  <si>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</si>
  <si>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</si>
  <si>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Office refurbishment/relocations unallocated</t>
  </si>
  <si>
    <t>air pollution LA contributions on 2802</t>
  </si>
  <si>
    <t>D00707</t>
  </si>
  <si>
    <t>Blackfriars St Improvement</t>
  </si>
  <si>
    <t>D00802</t>
  </si>
  <si>
    <t>A666 Cycling Facilities</t>
  </si>
  <si>
    <t>D00803</t>
  </si>
  <si>
    <t>Barton Cycling Facilities</t>
  </si>
  <si>
    <t>D00805</t>
  </si>
  <si>
    <t>Cycle Parking Facilities</t>
  </si>
  <si>
    <t>D00806</t>
  </si>
  <si>
    <t>Sustrans Routes</t>
  </si>
  <si>
    <t>Cycling Projects Grant Fund</t>
  </si>
  <si>
    <t>D00901</t>
  </si>
  <si>
    <t>GM Local Transport Plan</t>
  </si>
  <si>
    <t>D00902</t>
  </si>
  <si>
    <t>Salford's Green Transport Plan</t>
  </si>
  <si>
    <t>D00903</t>
  </si>
  <si>
    <t>M60/ PRN Signing</t>
  </si>
  <si>
    <t>D00905</t>
  </si>
  <si>
    <t>Demand Management Measures</t>
  </si>
  <si>
    <t>D00909</t>
  </si>
  <si>
    <t>AGMA countywide Advertising</t>
  </si>
  <si>
    <t>D00917</t>
  </si>
  <si>
    <t>Relocation of Data centre and provision of UPSS</t>
  </si>
  <si>
    <t>from savings in maintenance contract and saving on oralce licenses</t>
  </si>
  <si>
    <t>Barton SES Studies</t>
  </si>
  <si>
    <t>D00918</t>
  </si>
  <si>
    <t>Chapel St Pedestrian Route Improve'ts</t>
  </si>
  <si>
    <t>D00919</t>
  </si>
  <si>
    <t>GMATS 2001 Surveys</t>
  </si>
  <si>
    <t>D00924</t>
  </si>
  <si>
    <t>Miscellaneous SRTS Works</t>
  </si>
  <si>
    <t>D00925</t>
  </si>
  <si>
    <t>GMTU Non-core Modelling Work</t>
  </si>
  <si>
    <t>D00926</t>
  </si>
  <si>
    <t>Public Rights of Way Signing</t>
  </si>
  <si>
    <t>Barton Rd/Barton Ln J'n Improvement</t>
  </si>
  <si>
    <t>Liverpool Rd, Cadishead, Town Centre</t>
  </si>
  <si>
    <t>Public Rights of Way Improvements</t>
  </si>
  <si>
    <t>67 Wordsworth Road</t>
  </si>
  <si>
    <t xml:space="preserve">John St/Bury St Blackfriars </t>
  </si>
  <si>
    <t>D00003</t>
  </si>
  <si>
    <t>Cadishead Way Stage 1</t>
  </si>
  <si>
    <t>from customer services revenue budget 51k per year</t>
  </si>
  <si>
    <t>F00026</t>
  </si>
  <si>
    <t>Boundary Road Irlam</t>
  </si>
  <si>
    <t>A30001</t>
  </si>
  <si>
    <t>Liverpool Road Eccles</t>
  </si>
  <si>
    <t>D01500</t>
  </si>
  <si>
    <t>Replacement of Adelphi Place</t>
  </si>
  <si>
    <t>c00064</t>
  </si>
  <si>
    <t>Hope Library office moves</t>
  </si>
  <si>
    <t>Highways Depot</t>
  </si>
  <si>
    <t>Fit City Signage</t>
  </si>
  <si>
    <t>SPACE</t>
  </si>
  <si>
    <t>Management Information System</t>
  </si>
  <si>
    <t>VA Minor Works</t>
  </si>
  <si>
    <t>ACG Minor Works</t>
  </si>
  <si>
    <t>Class Size Reduction</t>
  </si>
  <si>
    <t>Staff Workspaces</t>
  </si>
  <si>
    <t>Springwood</t>
  </si>
  <si>
    <t>Timing adjustments</t>
  </si>
  <si>
    <t>surestart</t>
  </si>
  <si>
    <t>School Contributions</t>
  </si>
  <si>
    <t>Insurance Clifton Primary / Broadwalk</t>
  </si>
  <si>
    <t xml:space="preserve">Dept of Health Barton Moss Expansion </t>
  </si>
  <si>
    <t>Sure Start (Winton linrary)</t>
  </si>
  <si>
    <t>Beesley Green NOF</t>
  </si>
  <si>
    <t>NOF/PE Sports</t>
  </si>
  <si>
    <t>Central salford</t>
  </si>
  <si>
    <t>Chapel Wharf</t>
  </si>
  <si>
    <t>Red Rose Scheme</t>
  </si>
  <si>
    <t>Resources total (includes receipts required)</t>
  </si>
  <si>
    <t xml:space="preserve">adjust for actual reciepts </t>
  </si>
  <si>
    <t>Resources adjusted for forecast receipts</t>
  </si>
  <si>
    <t>Sufplus/(shortfall) in resources over programme</t>
  </si>
  <si>
    <t>Melville st/Cleminson st</t>
  </si>
  <si>
    <t>Overage rights Quays campus</t>
  </si>
  <si>
    <t>Rovers Return</t>
  </si>
  <si>
    <t>3 Pemberton St deposit</t>
  </si>
  <si>
    <t>Acquisitions</t>
  </si>
  <si>
    <t>Relocation Eccles Market</t>
  </si>
  <si>
    <t>Other Consultants Fees</t>
  </si>
  <si>
    <t>Ordsall</t>
  </si>
  <si>
    <t>New Deal for Communities</t>
  </si>
  <si>
    <t>SRB1</t>
  </si>
  <si>
    <t>SRB3</t>
  </si>
  <si>
    <t>D05004</t>
  </si>
  <si>
    <t>Digital World Centre Phase 2</t>
  </si>
  <si>
    <t>ERDF Schemes</t>
  </si>
  <si>
    <t>Red Rose Schemes</t>
  </si>
  <si>
    <t>NWDA Headroom Projects</t>
  </si>
  <si>
    <t xml:space="preserve">Disposal general associated costs </t>
  </si>
  <si>
    <t xml:space="preserve">Demolition Windsor School </t>
  </si>
  <si>
    <t xml:space="preserve">Kersal High School </t>
  </si>
  <si>
    <t xml:space="preserve">Brentnal High School </t>
  </si>
  <si>
    <t xml:space="preserve">ORDSALL NEIGH.OFFICE WORKS </t>
  </si>
  <si>
    <t xml:space="preserve">Safety Camera partnership </t>
  </si>
  <si>
    <t xml:space="preserve">Broadwalk Resource Unit </t>
  </si>
  <si>
    <t>Disposal Costs</t>
  </si>
  <si>
    <t>Miscellaneous</t>
  </si>
  <si>
    <t>Chapel Street</t>
  </si>
  <si>
    <t>LIVIA</t>
  </si>
  <si>
    <t>SRB2</t>
  </si>
  <si>
    <t>Littleton Road Sports Village</t>
  </si>
  <si>
    <t>D03507</t>
  </si>
  <si>
    <t>Demolition Greenwood School</t>
  </si>
  <si>
    <t>D06107</t>
  </si>
  <si>
    <t>D06119</t>
  </si>
  <si>
    <t>Islington Way/Park st Security Measures</t>
  </si>
  <si>
    <t>D08014</t>
  </si>
  <si>
    <t>D08018</t>
  </si>
  <si>
    <t>Swinton Desigin Plans</t>
  </si>
  <si>
    <t>D08034</t>
  </si>
  <si>
    <t>D08036</t>
  </si>
  <si>
    <t>Lift Project</t>
  </si>
  <si>
    <t>Ordsall Primary School</t>
  </si>
  <si>
    <t>D08045</t>
  </si>
  <si>
    <t>D08052</t>
  </si>
  <si>
    <t>Walkden Pool Refurbishment</t>
  </si>
  <si>
    <t>D08060</t>
  </si>
  <si>
    <t>D08061</t>
  </si>
  <si>
    <t>Chapel Street - Pedestrianisation</t>
  </si>
  <si>
    <t>0.015 outstanding fire insurance money</t>
  </si>
  <si>
    <t>East Ordsal lane/Trintiy Way</t>
  </si>
  <si>
    <t>D00535</t>
  </si>
  <si>
    <t>Pendleton Roundabout Parapets ph 2</t>
  </si>
  <si>
    <t>Pendleton Roundabout Parapets ph1</t>
  </si>
  <si>
    <t>D00617</t>
  </si>
  <si>
    <t>D00618</t>
  </si>
  <si>
    <t>D00619</t>
  </si>
  <si>
    <t>D00620</t>
  </si>
  <si>
    <t>D00807</t>
  </si>
  <si>
    <t>Council Tax benefits replacement system</t>
  </si>
  <si>
    <t>A20001</t>
  </si>
  <si>
    <t>A20008</t>
  </si>
  <si>
    <t>SPV set up costs</t>
  </si>
  <si>
    <t>Project LDC</t>
  </si>
  <si>
    <t>Medialink</t>
  </si>
  <si>
    <t>Salford Innovation Park</t>
  </si>
  <si>
    <t>D03503</t>
  </si>
  <si>
    <t xml:space="preserve">24 Parkway </t>
  </si>
  <si>
    <t xml:space="preserve">2 Watson Street </t>
  </si>
  <si>
    <t xml:space="preserve">13 Pemberton St </t>
  </si>
  <si>
    <t>S05004</t>
  </si>
  <si>
    <t>S05005</t>
  </si>
  <si>
    <t>262 Liverpool Road</t>
  </si>
  <si>
    <t>20 Devonshire Road</t>
  </si>
  <si>
    <t>S05052</t>
  </si>
  <si>
    <t>Barton Moss Expension (New Unit)</t>
  </si>
  <si>
    <t>S05106</t>
  </si>
  <si>
    <t>VERs</t>
  </si>
  <si>
    <t>S05107</t>
  </si>
  <si>
    <t>White Meadows - Fire Safety</t>
  </si>
  <si>
    <t>S05301</t>
  </si>
  <si>
    <t>New Granville - Fire Safety &amp; Safety Glazing</t>
  </si>
  <si>
    <t>S06054</t>
  </si>
  <si>
    <t>Alexandra House - Bathroom  &amp; Toilets</t>
  </si>
  <si>
    <t>S06101</t>
  </si>
  <si>
    <t>St Georges - Re-roofing &amp; Car Park</t>
  </si>
  <si>
    <t>S06152</t>
  </si>
  <si>
    <t>Craig Hall - Re-roofing</t>
  </si>
  <si>
    <t>S06153</t>
  </si>
  <si>
    <t>Waterside Resource Centre - Re-roofing</t>
  </si>
  <si>
    <t>S08060</t>
  </si>
  <si>
    <t>Refurbishment of Crompton House Reception</t>
  </si>
  <si>
    <t>S08054</t>
  </si>
  <si>
    <t>Improving Information Management 2002/2003</t>
  </si>
  <si>
    <t>S09005</t>
  </si>
  <si>
    <t>Wardley Community Centre</t>
  </si>
  <si>
    <t>S09006</t>
  </si>
  <si>
    <t>Kenyon Way - Replacement of heating system</t>
  </si>
  <si>
    <t>E05705</t>
  </si>
  <si>
    <t>E05013</t>
  </si>
  <si>
    <t>Irlam Pool NOF/PE</t>
  </si>
  <si>
    <t>E05028</t>
  </si>
  <si>
    <t>E05009</t>
  </si>
  <si>
    <t>C00062</t>
  </si>
  <si>
    <t>D00927</t>
  </si>
  <si>
    <t>D00929</t>
  </si>
  <si>
    <t>D00928</t>
  </si>
  <si>
    <t>A00413</t>
  </si>
  <si>
    <t>Physical Design Strategy</t>
  </si>
  <si>
    <t>2004/5  NEW STARTS</t>
  </si>
  <si>
    <t>2003/4 NEW STARTS</t>
  </si>
  <si>
    <t>PRE PARTNERING</t>
  </si>
  <si>
    <t>PARTNERING</t>
  </si>
  <si>
    <t>2004/5  INSULATION SCHEMES</t>
  </si>
  <si>
    <t>h50710</t>
  </si>
  <si>
    <t>NDS 4</t>
  </si>
  <si>
    <t>NDS 2 &amp; 3</t>
  </si>
  <si>
    <t>E04619</t>
  </si>
  <si>
    <t>DFC Cadishead</t>
  </si>
  <si>
    <t>E04661</t>
  </si>
  <si>
    <t>DFC St Johns CE</t>
  </si>
  <si>
    <t>E04672</t>
  </si>
  <si>
    <t>DFC Moorside High</t>
  </si>
  <si>
    <t>E03122</t>
  </si>
  <si>
    <t>E03124</t>
  </si>
  <si>
    <t>E03125</t>
  </si>
  <si>
    <t>E03127</t>
  </si>
  <si>
    <t>E03129</t>
  </si>
  <si>
    <t>E03131</t>
  </si>
  <si>
    <t>North Grecian St Fencing</t>
  </si>
  <si>
    <t>St Lukes CE Fencing</t>
  </si>
  <si>
    <t>St Georges CE Fencing</t>
  </si>
  <si>
    <t>Larkhill Playground Works</t>
  </si>
  <si>
    <t>Irlam Endowed Playground Works</t>
  </si>
  <si>
    <t>Lightoaks Jun/Infant Toilets Refurb</t>
  </si>
  <si>
    <t>Wharton CP Boiler Replaecment</t>
  </si>
  <si>
    <t>E03076</t>
  </si>
  <si>
    <t>E03079</t>
  </si>
  <si>
    <t>E03086</t>
  </si>
  <si>
    <t>E03101</t>
  </si>
  <si>
    <t>E03103</t>
  </si>
  <si>
    <t>E03109</t>
  </si>
  <si>
    <t>E03100</t>
  </si>
  <si>
    <t>Modcon St Mary's CE (Cad) Library/staff</t>
  </si>
  <si>
    <t>Modcon Moorside High Boiler replacement</t>
  </si>
  <si>
    <t>NDS Cond - Broadoak CP - Electrical Works</t>
  </si>
  <si>
    <t>NDS Cond The Friars CP roofing</t>
  </si>
  <si>
    <t>NDS Cond St Pauls Neville Road Window replacement</t>
  </si>
  <si>
    <t>NDS Cond St Pauls Peel Window replacement</t>
  </si>
  <si>
    <t>E04750</t>
  </si>
  <si>
    <t>Winton Nursery Centre</t>
  </si>
  <si>
    <t>E01503</t>
  </si>
  <si>
    <t>E00031</t>
  </si>
  <si>
    <t>E00032</t>
  </si>
  <si>
    <t>E00026</t>
  </si>
  <si>
    <t>E00018</t>
  </si>
  <si>
    <t>E00019</t>
  </si>
  <si>
    <t>E00020</t>
  </si>
  <si>
    <t>E00021</t>
  </si>
  <si>
    <t>Primary Review Allocation</t>
  </si>
  <si>
    <t>Primary Review Boothstown Methodists</t>
  </si>
  <si>
    <t>Primary Review Grosvenor Road</t>
  </si>
  <si>
    <t>Primary Review Wharton CP</t>
  </si>
  <si>
    <t>Primary Review Beech Street</t>
  </si>
  <si>
    <t>Moorside Primary re Primary Review</t>
  </si>
  <si>
    <t>Moorfield Primary Review</t>
  </si>
  <si>
    <t>E00005</t>
  </si>
  <si>
    <t>Irlam Endowed - Alterations to Hall</t>
  </si>
  <si>
    <t>D03006</t>
  </si>
  <si>
    <t>Engllish Partnership</t>
  </si>
  <si>
    <t>Hilton Lane Ph 2</t>
  </si>
  <si>
    <t>D07300</t>
  </si>
  <si>
    <t>Christ Church - Consultants Fees</t>
  </si>
  <si>
    <t>Salford Shopping food retail development</t>
  </si>
  <si>
    <t>Salford Methodist Church Design comp/n</t>
  </si>
  <si>
    <t>A40100</t>
  </si>
  <si>
    <t>A40101</t>
  </si>
  <si>
    <t>A40102</t>
  </si>
  <si>
    <t>A40103</t>
  </si>
  <si>
    <t>Greengate</t>
  </si>
  <si>
    <t>Transport Strategy</t>
  </si>
  <si>
    <t>Not the Aquarium</t>
  </si>
  <si>
    <t>Crescent Station</t>
  </si>
  <si>
    <t>A40300</t>
  </si>
  <si>
    <t>A40301</t>
  </si>
  <si>
    <t>Policing projects</t>
  </si>
  <si>
    <t>Innovation Park</t>
  </si>
  <si>
    <t>0.030 NRF</t>
  </si>
  <si>
    <t>0.015 NRF</t>
  </si>
  <si>
    <t>.050 moved to chief execs central station</t>
  </si>
  <si>
    <t>.152 from GMPTE, 0.050 from highways cap prog block 3</t>
  </si>
  <si>
    <t>D08004</t>
  </si>
  <si>
    <t>D08013</t>
  </si>
  <si>
    <t>Seedley/Langworthy urban designer</t>
  </si>
  <si>
    <t>Ordsall Hall Brief framing</t>
  </si>
  <si>
    <t>D08031</t>
  </si>
  <si>
    <t>Chapel Street Plans and Designs</t>
  </si>
  <si>
    <t>D08037</t>
  </si>
  <si>
    <t>Salford Vision Plan</t>
  </si>
  <si>
    <t>£0.100m Neighbourhood renewal fund</t>
  </si>
  <si>
    <t>h50868</t>
  </si>
  <si>
    <t>h50641 d</t>
  </si>
  <si>
    <t>h50641 f</t>
  </si>
  <si>
    <t>h50812</t>
  </si>
  <si>
    <t>Racecourse ph 1/2</t>
  </si>
  <si>
    <t>h50954</t>
  </si>
  <si>
    <t>Fairhope</t>
  </si>
  <si>
    <t>h51107</t>
  </si>
  <si>
    <t>h50869</t>
  </si>
  <si>
    <t xml:space="preserve">Pendleway </t>
  </si>
  <si>
    <t>h50711</t>
  </si>
  <si>
    <t>Kinder</t>
  </si>
  <si>
    <t>h50957</t>
  </si>
  <si>
    <t>h50908</t>
  </si>
  <si>
    <t>h50955</t>
  </si>
  <si>
    <t>h50652</t>
  </si>
  <si>
    <t>h50653</t>
  </si>
  <si>
    <t>h51106</t>
  </si>
  <si>
    <t xml:space="preserve">Admiralty / LHDC </t>
  </si>
  <si>
    <t>h50956</t>
  </si>
  <si>
    <t>h50910</t>
  </si>
  <si>
    <t>h50867</t>
  </si>
  <si>
    <t>h50814</t>
  </si>
  <si>
    <t>h50815</t>
  </si>
  <si>
    <t>h50712</t>
  </si>
  <si>
    <t>h50709</t>
  </si>
  <si>
    <t xml:space="preserve">Lombardy Court </t>
  </si>
  <si>
    <t>h51105</t>
  </si>
  <si>
    <t>h50813</t>
  </si>
  <si>
    <t>ROLLING PROGRAMMES</t>
  </si>
  <si>
    <t>H50001</t>
  </si>
  <si>
    <t>2004/5 D.F.G.s</t>
  </si>
  <si>
    <t>H50001A</t>
  </si>
  <si>
    <t>F00015</t>
  </si>
  <si>
    <t>Poynt Chase</t>
  </si>
  <si>
    <t>section 106 £4551</t>
  </si>
  <si>
    <t>D.F.G.s in future years</t>
  </si>
  <si>
    <t>H50643A</t>
  </si>
  <si>
    <t>H50643</t>
  </si>
  <si>
    <t>H54001</t>
  </si>
  <si>
    <t>H50250</t>
  </si>
  <si>
    <t>H50270</t>
  </si>
  <si>
    <t>H50249</t>
  </si>
  <si>
    <t>H51202</t>
  </si>
  <si>
    <t>2001/2 NEW STARTS (DSD SCHEMES)</t>
  </si>
  <si>
    <t>H50485</t>
  </si>
  <si>
    <t>H50625</t>
  </si>
  <si>
    <t>H50610</t>
  </si>
  <si>
    <t>H50519</t>
  </si>
  <si>
    <t>H50486</t>
  </si>
  <si>
    <t>H50297</t>
  </si>
  <si>
    <t>H50565</t>
  </si>
  <si>
    <t>H50593</t>
  </si>
  <si>
    <t>H50595</t>
  </si>
  <si>
    <t>H50269</t>
  </si>
  <si>
    <t>H50246</t>
  </si>
  <si>
    <t>H50804</t>
  </si>
  <si>
    <t>2002/3 NEW STARTS</t>
  </si>
  <si>
    <t>H54101</t>
  </si>
  <si>
    <t>h50550</t>
  </si>
  <si>
    <t>H54104</t>
  </si>
  <si>
    <t>H54105</t>
  </si>
  <si>
    <t>H54106</t>
  </si>
  <si>
    <t>H54107</t>
  </si>
  <si>
    <t xml:space="preserve">S.R.B. 2 </t>
  </si>
  <si>
    <t>H50103</t>
  </si>
  <si>
    <t>H50122</t>
  </si>
  <si>
    <t>to Oct 04</t>
  </si>
  <si>
    <t>H50124</t>
  </si>
  <si>
    <t>H50123</t>
  </si>
  <si>
    <t>H50125</t>
  </si>
  <si>
    <t>H50126</t>
  </si>
  <si>
    <t>SPIKE ISLAND</t>
  </si>
  <si>
    <t>H50183</t>
  </si>
  <si>
    <t>H50185</t>
  </si>
  <si>
    <t>H50186</t>
  </si>
  <si>
    <t>H50187</t>
  </si>
  <si>
    <t>H50188</t>
  </si>
  <si>
    <t>H50189</t>
  </si>
  <si>
    <t>H50190</t>
  </si>
  <si>
    <t>H50191</t>
  </si>
  <si>
    <t>H50192</t>
  </si>
  <si>
    <t>PPR PROGRAMME</t>
  </si>
  <si>
    <t>H53001</t>
  </si>
  <si>
    <t>H53178</t>
  </si>
  <si>
    <t>H53179</t>
  </si>
  <si>
    <t xml:space="preserve">FALCON CRES </t>
  </si>
  <si>
    <t>H53188</t>
  </si>
  <si>
    <t>H53189</t>
  </si>
  <si>
    <t>H53192</t>
  </si>
  <si>
    <t>H53193</t>
  </si>
  <si>
    <t xml:space="preserve">TOOTAL DR PH 1ACKWORTH RD/TEMPLE DR </t>
  </si>
  <si>
    <t>H53194</t>
  </si>
  <si>
    <t>H53200</t>
  </si>
  <si>
    <t>H53203</t>
  </si>
  <si>
    <t>H53204</t>
  </si>
  <si>
    <t>SSA-Broughton - Land at Feney St(16-22)</t>
  </si>
  <si>
    <t>H53205</t>
  </si>
  <si>
    <t>H53206</t>
  </si>
  <si>
    <t>H53208</t>
  </si>
  <si>
    <t>H53209</t>
  </si>
  <si>
    <t>H53210</t>
  </si>
  <si>
    <t>H53212</t>
  </si>
  <si>
    <t>H53214</t>
  </si>
  <si>
    <t>H53215</t>
  </si>
  <si>
    <t>H53216</t>
  </si>
  <si>
    <t>H53217</t>
  </si>
  <si>
    <t>H53218</t>
  </si>
  <si>
    <t>H53219</t>
  </si>
  <si>
    <t>H53220</t>
  </si>
  <si>
    <t>h52001 a</t>
  </si>
  <si>
    <t>h52009</t>
  </si>
  <si>
    <t>h52024</t>
  </si>
  <si>
    <t>h52018</t>
  </si>
  <si>
    <t>h52019</t>
  </si>
  <si>
    <t>H52006</t>
  </si>
  <si>
    <t>H52003</t>
  </si>
  <si>
    <t>h52008</t>
  </si>
  <si>
    <t>h52023</t>
  </si>
  <si>
    <t>h52025</t>
  </si>
  <si>
    <t>h52026</t>
  </si>
  <si>
    <t>h52027</t>
  </si>
  <si>
    <t>h52020</t>
  </si>
  <si>
    <t>H51002</t>
  </si>
  <si>
    <t>H52010</t>
  </si>
  <si>
    <t>H51001</t>
  </si>
  <si>
    <t>H50624</t>
  </si>
  <si>
    <t>H50482</t>
  </si>
  <si>
    <t>H50504</t>
  </si>
  <si>
    <t>H50562</t>
  </si>
  <si>
    <t>H50584</t>
  </si>
  <si>
    <t>H50295</t>
  </si>
  <si>
    <t>H50702</t>
  </si>
  <si>
    <t>H50534</t>
  </si>
  <si>
    <t>H50706</t>
  </si>
  <si>
    <t>H50705</t>
  </si>
  <si>
    <t xml:space="preserve"> 2002/3 NEW STARTS (HPMS-SERVICES)</t>
  </si>
  <si>
    <t>H50559</t>
  </si>
  <si>
    <t>H50857</t>
  </si>
  <si>
    <t>H50860</t>
  </si>
  <si>
    <t>H51104</t>
  </si>
  <si>
    <t>H50864</t>
  </si>
  <si>
    <t>H50572</t>
  </si>
  <si>
    <t>H50810</t>
  </si>
  <si>
    <t>H50811</t>
  </si>
  <si>
    <t>h50809</t>
  </si>
  <si>
    <t xml:space="preserve">  2002/3 NEW STARTS (HPMS-BUILDING)</t>
  </si>
  <si>
    <t>H50570</t>
  </si>
  <si>
    <t>H50807</t>
  </si>
  <si>
    <t>H50620</t>
  </si>
  <si>
    <t>H50571</t>
  </si>
  <si>
    <t>H50859</t>
  </si>
  <si>
    <t>H50904</t>
  </si>
  <si>
    <t>H50402</t>
  </si>
  <si>
    <t>H50488</t>
  </si>
  <si>
    <t>H50422</t>
  </si>
  <si>
    <t>H50285</t>
  </si>
  <si>
    <t>Langwothy / Seedley</t>
  </si>
  <si>
    <t>ACQUISITIONS-SHOPS/OTHER PROPERTIES</t>
  </si>
  <si>
    <t>Advance Fees</t>
  </si>
  <si>
    <t xml:space="preserve"> SSA-Shops/Commercial Properties</t>
  </si>
  <si>
    <t>ACQUISITIONS-HOUSES</t>
  </si>
  <si>
    <t xml:space="preserve">    SSA-Houses</t>
  </si>
  <si>
    <t>ACQUISITIONS-HOWARD HOUSE</t>
  </si>
  <si>
    <t>ACQUISITIONS-Landscape m'tce</t>
  </si>
  <si>
    <t>SSA-Maintenance/running costs</t>
  </si>
  <si>
    <t>SECURING / MANAGEMENT</t>
  </si>
  <si>
    <t xml:space="preserve">SSA-Securing /Managing properties </t>
  </si>
  <si>
    <t>DEMOLITION / SITE TREATMENT</t>
  </si>
  <si>
    <t>SSA -Demolition / Site Treatment</t>
  </si>
  <si>
    <t xml:space="preserve">HOMESWAPS </t>
  </si>
  <si>
    <t>SHO-Langworthy  north ph 1/2(15dw-dsd)</t>
  </si>
  <si>
    <t>SHO-Langworthy  north ph 3-dsd</t>
  </si>
  <si>
    <t>SHO-Langworthy  north ph 4-dsd</t>
  </si>
  <si>
    <t>SHO-Langworthy  north ph 5-dsd</t>
  </si>
  <si>
    <t>SHO-Langworthy  north ph 6-dsd</t>
  </si>
  <si>
    <t>SHO-Seedley West ph 1-dsd</t>
  </si>
  <si>
    <t>SHO-Seedley West ph 2-dsd</t>
  </si>
  <si>
    <t>SHO-Homeswaps -dsd -individual schemes</t>
  </si>
  <si>
    <t>Homeswaps -general spend(SHO)</t>
  </si>
  <si>
    <t>RELOCATION GRANTS</t>
  </si>
  <si>
    <t>SHO-Individual relocation grants</t>
  </si>
  <si>
    <t xml:space="preserve"> RENOVATION GRANTS</t>
  </si>
  <si>
    <t>Individual Renovation Grants(HI)</t>
  </si>
  <si>
    <t>GROUP REPAIR / ENVIRONMENTALS</t>
  </si>
  <si>
    <t>Alleyway refurb -dsd</t>
  </si>
  <si>
    <t xml:space="preserve">HI-Langworthy North ph 1-dsd </t>
  </si>
  <si>
    <t>H00453</t>
  </si>
  <si>
    <t>H00455</t>
  </si>
  <si>
    <t>H01251</t>
  </si>
  <si>
    <t>H01253</t>
  </si>
  <si>
    <t>H01255</t>
  </si>
  <si>
    <t>h00578</t>
  </si>
  <si>
    <t>h00932</t>
  </si>
  <si>
    <t>h01251</t>
  </si>
  <si>
    <t>h00944</t>
  </si>
  <si>
    <t>h00931</t>
  </si>
  <si>
    <t>h00563</t>
  </si>
  <si>
    <t>h00460</t>
  </si>
  <si>
    <t>h01254</t>
  </si>
  <si>
    <t>h00456</t>
  </si>
  <si>
    <t>h01256</t>
  </si>
  <si>
    <t>e02005</t>
  </si>
  <si>
    <t>SSA-Auckland Drive / Britannia St</t>
  </si>
  <si>
    <t>SSA-Oaklands Rd RTB's</t>
  </si>
  <si>
    <t>SSA-Homeswap-acquisitions</t>
  </si>
  <si>
    <t>SSA-Security /Boarding up</t>
  </si>
  <si>
    <t>SSA-Littleton Rd (15/19)</t>
  </si>
  <si>
    <t>D00526</t>
  </si>
  <si>
    <t>By pass construction</t>
  </si>
  <si>
    <t>D01040</t>
  </si>
  <si>
    <t>D08048</t>
  </si>
  <si>
    <t>New Leaf - Worsley Delph</t>
  </si>
  <si>
    <t>D08051</t>
  </si>
  <si>
    <t>Newlands Initiative</t>
  </si>
  <si>
    <t>HI-Whit Lane RTB's</t>
  </si>
  <si>
    <t>HI-Lower Kersal RTB's</t>
  </si>
  <si>
    <t>DEMOLITIONS</t>
  </si>
  <si>
    <t>Available for new starts</t>
  </si>
  <si>
    <t>Hanover Court</t>
  </si>
  <si>
    <t>Florence St</t>
  </si>
  <si>
    <t>Kestrel Avenue</t>
  </si>
  <si>
    <t>Wheatersfield</t>
  </si>
  <si>
    <t xml:space="preserve">Little Hulton Cottage Flats </t>
  </si>
  <si>
    <t xml:space="preserve">Poets Corner </t>
  </si>
  <si>
    <t>Ladywell Avenue</t>
  </si>
  <si>
    <t xml:space="preserve">Lime Court </t>
  </si>
  <si>
    <t>Meadowside</t>
  </si>
  <si>
    <t>Hulton Ave launderette</t>
  </si>
  <si>
    <t>Windsor Avenue</t>
  </si>
  <si>
    <t>Shakespeare Rd / Blantyre St</t>
  </si>
  <si>
    <t>Birley Court</t>
  </si>
  <si>
    <t>Duchy Bank</t>
  </si>
  <si>
    <t>Ruthin Court</t>
  </si>
  <si>
    <t>Schemes funded from 2004/5 new start allocation</t>
  </si>
  <si>
    <t>OLD SCHEMES</t>
  </si>
  <si>
    <t>2000/1 NEW STARTS (DSD)</t>
  </si>
  <si>
    <t>2001/2  NEW STARTS (HPMS)</t>
  </si>
  <si>
    <t>Energy eff.lead pipes</t>
  </si>
  <si>
    <t>High rise prog       -canon green</t>
  </si>
  <si>
    <t>Beech st environment ph 1</t>
  </si>
  <si>
    <t>Tootal drive phase 2</t>
  </si>
  <si>
    <t>Valley environment ph 1</t>
  </si>
  <si>
    <t>Goodiers drive highway works</t>
  </si>
  <si>
    <t>Structural repairs-thorn court</t>
  </si>
  <si>
    <t xml:space="preserve">Security-argosy/beech/mitch/scotch </t>
  </si>
  <si>
    <t>2002/3 NEW STARTS (DSD SCHEMES)</t>
  </si>
  <si>
    <t>District heating  ph 1/2</t>
  </si>
  <si>
    <t>Environment  ph 2</t>
  </si>
  <si>
    <t>Environment  ph 3</t>
  </si>
  <si>
    <t>Environment  ph 4</t>
  </si>
  <si>
    <t>Environment  ph 5</t>
  </si>
  <si>
    <t>Environment  ph 6</t>
  </si>
  <si>
    <t>Environment  ph 7</t>
  </si>
  <si>
    <t>SCHEMES FUNDED FROM PREVIOUS YEARS ALLOCATIONS</t>
  </si>
  <si>
    <t xml:space="preserve">    EA SCHEMES</t>
  </si>
  <si>
    <t>HI-Littleton Rd/Ayrshire  facelifts  (phase 1)(dsd)</t>
  </si>
  <si>
    <t>HI-Norfolk / Gerald / Suffolk st-rear yard walls(dsd)</t>
  </si>
  <si>
    <t>HI- Gerald Rd / Levens St</t>
  </si>
  <si>
    <t>HI- Arrowhead (Beeley St) refurbishment</t>
  </si>
  <si>
    <t>littleton rd ph 1(dsd)    see HI-Littleton rd facelifts</t>
  </si>
  <si>
    <t>littleton rd ph 2(dsd)</t>
  </si>
  <si>
    <t>littleton rd ph3 (dsd)</t>
  </si>
  <si>
    <t>littleton rd ph 4(dsd)</t>
  </si>
  <si>
    <t>littleton rd ph 5(dsd)</t>
  </si>
  <si>
    <t>arrowhead ph 1 (dsd)- assumed resources from arrowh'd/beeley refurb-hmr/hi</t>
  </si>
  <si>
    <t>D07013</t>
  </si>
  <si>
    <t>Relocation of Soc servs to Emerson House</t>
  </si>
  <si>
    <t>0.080 Lift enabling fund</t>
  </si>
  <si>
    <t>arrowhead ph 2 (dsd)</t>
  </si>
  <si>
    <t>arrowhead ph 3 (dsd)-assumed resources from gerard/levens hmr/hi</t>
  </si>
  <si>
    <t>grants</t>
  </si>
  <si>
    <t>norfolk / gerald / suffolk st-environmental(dsd)</t>
  </si>
  <si>
    <t>Higher Broughton</t>
  </si>
  <si>
    <t>SSA-Broughton -demolitions/site treatment</t>
  </si>
  <si>
    <t>SSA-Broughton -security / disconnections</t>
  </si>
  <si>
    <t>SSA-Broughton-Top/bottom Streets</t>
  </si>
  <si>
    <t>SSA-Broughton -Granyte st ground lease</t>
  </si>
  <si>
    <t>SSA-Broughton -5 portfolios</t>
  </si>
  <si>
    <t>SSA-Broughton -House That Jack Built Pub</t>
  </si>
  <si>
    <t>SSA-Broughton -Commercial relocation packages</t>
  </si>
  <si>
    <t>SSA-Broughton -Acq Earl /Kempster</t>
  </si>
  <si>
    <t>SSA-Broughton -Acq Gt Cheetham st(490/502)</t>
  </si>
  <si>
    <t>SSA-Broughton -Acq-Moss St</t>
  </si>
  <si>
    <t>SSA-Broughton -Acq-1 Wellington St</t>
  </si>
  <si>
    <t>SSA-Broughton -Wellington St</t>
  </si>
  <si>
    <t>SD-Broughton -Gap funding-site investigation/remedial</t>
  </si>
  <si>
    <t>SHO-Broughton -Homeswaps</t>
  </si>
  <si>
    <t>HI-Broughton-Home Improvement Grants</t>
  </si>
  <si>
    <t>HI-Broughton -refurbishments</t>
  </si>
  <si>
    <t>Broughton -Gt Clowes St ph 2 env (SN 3/4 )(dsd)</t>
  </si>
  <si>
    <t>Broughton site investigation</t>
  </si>
  <si>
    <t>SSA-Claremont / Weaste--acquisitions-Duchy</t>
  </si>
  <si>
    <t>SSA-Claremont / Weaste-acq-Weaste La/Kennedy</t>
  </si>
  <si>
    <t>SSA-Claremont / Weaste-security/disconnections</t>
  </si>
  <si>
    <t>SSA-Claremont / Weaste-demolition/site treatment</t>
  </si>
  <si>
    <t>SD-Claremont / Weaste-redevelopment Duchy</t>
  </si>
  <si>
    <t>SHO-Claremont / Weaste-Homeswaps Duchy</t>
  </si>
  <si>
    <t>£400k from Football foundation, £300k football association</t>
  </si>
  <si>
    <t>SHO-Claremont / Weaste-Relocation grants</t>
  </si>
  <si>
    <t>HI-Claremont / Weaste-Kennedy Rd(Weaste ph 1 facelift)(dsd)</t>
  </si>
  <si>
    <t>HI-Claremont / Weaste -Weaste rd ph 2 qs/ assumed ph 4 hmr (dsd)</t>
  </si>
  <si>
    <t>HI-Claremont / Weaste-Barff Rd block impts(assumed ph 2 hmr) (dsd)</t>
  </si>
  <si>
    <t>HI-Claremont / Weaste-Glendore/New Cross(ph 4qs-assumed ph 3/5 hmr)  (dsd</t>
  </si>
  <si>
    <t>RSL-Claremont / Weaste -Weaste Home Ownership</t>
  </si>
  <si>
    <t>Claremont / Weaste HI-grants</t>
  </si>
  <si>
    <t>Claremont / Weaste-Duchy facelift (dsd)</t>
  </si>
  <si>
    <t>Claremont / Weaste SN-Weaste drying yard (dsd)</t>
  </si>
  <si>
    <t>Claremont / Weaste-Broomhall Rd  (dsd)</t>
  </si>
  <si>
    <t>SSA-Stowell / Bridson acquisitions</t>
  </si>
  <si>
    <t>SSA-Security /Disconnections</t>
  </si>
  <si>
    <t>SSA-Demolition / Site Treatment</t>
  </si>
  <si>
    <t>SHO-Eccles New Rd relocation</t>
  </si>
  <si>
    <t>HI-Eccles New Rd facelift  (dsd)</t>
  </si>
  <si>
    <t xml:space="preserve">HI-Grants  </t>
  </si>
  <si>
    <t>Pendleton-SSA-Sutton House Demolition</t>
  </si>
  <si>
    <t>Pendleton-SSA-Bethany Worship Mission</t>
  </si>
  <si>
    <t>Pendleton-SSA-Acq-Kingsley Court</t>
  </si>
  <si>
    <t>SD-Views -Gap Funding</t>
  </si>
  <si>
    <t>SSA-Site investigation</t>
  </si>
  <si>
    <t>SSA-Site investigation / Contamination</t>
  </si>
  <si>
    <t>HI-Energy Efficiency</t>
  </si>
  <si>
    <t>HI-Residential Property Security</t>
  </si>
  <si>
    <t>SN-Neighbourhood Master Plan</t>
  </si>
  <si>
    <t>SN-Wardens</t>
  </si>
  <si>
    <t>SN-Neighbourhood Maintenance</t>
  </si>
  <si>
    <t>SN-Streetscape/Env Improvements</t>
  </si>
  <si>
    <t>SN-Central Salford Design Competition</t>
  </si>
  <si>
    <t>SN-Dundee Project</t>
  </si>
  <si>
    <t>D.F.G.'s</t>
  </si>
  <si>
    <t xml:space="preserve">B.R.I </t>
  </si>
  <si>
    <t>Repairs with DFG's</t>
  </si>
  <si>
    <t>H.I.A's</t>
  </si>
  <si>
    <t>Handyperson scheme</t>
  </si>
  <si>
    <t>Enforcement</t>
  </si>
  <si>
    <t>Grants-Little Hulton</t>
  </si>
  <si>
    <t>Empty Properties Citywide (repayment of grant)</t>
  </si>
  <si>
    <t>Grants-HMO's (repayment of grant)</t>
  </si>
  <si>
    <t>Group Repair-Little Hulton(dsd)</t>
  </si>
  <si>
    <t>Group Repair-Legh St / George St(dsd)</t>
  </si>
  <si>
    <t>Group Repair-Oxford  St(dsd)</t>
  </si>
  <si>
    <t>E04552</t>
  </si>
  <si>
    <t>Group Repair-Police/Cromwell(dsd)</t>
  </si>
  <si>
    <t>Clearance-Little Hulton</t>
  </si>
  <si>
    <t>capsals to be reallocated</t>
  </si>
  <si>
    <t>Overprogramming</t>
  </si>
  <si>
    <t>Private sector housing excluding SRB 5</t>
  </si>
  <si>
    <t>Actual spend</t>
  </si>
  <si>
    <t>NEW DEAL/ NORTH IRWELL</t>
  </si>
  <si>
    <t>CLAREMONT / WEASTE</t>
  </si>
  <si>
    <t>ENTERPRISE PARK</t>
  </si>
  <si>
    <t>ORDSALL</t>
  </si>
  <si>
    <t>NON AREA BASED</t>
  </si>
  <si>
    <t>OUTER AREA / CITYWIDE</t>
  </si>
  <si>
    <t>H01053</t>
  </si>
  <si>
    <t>H01054</t>
  </si>
  <si>
    <t>H01055</t>
  </si>
  <si>
    <t>H00131</t>
  </si>
  <si>
    <t>H00640</t>
  </si>
  <si>
    <t>H00643</t>
  </si>
  <si>
    <t>H00637</t>
  </si>
  <si>
    <t>H01603</t>
  </si>
  <si>
    <t>H00041</t>
  </si>
  <si>
    <t>H00524</t>
  </si>
  <si>
    <t>H00853</t>
  </si>
  <si>
    <t>H00812</t>
  </si>
  <si>
    <t>H00091</t>
  </si>
  <si>
    <t>H00814</t>
  </si>
  <si>
    <t>H00816</t>
  </si>
  <si>
    <t>H00851-852</t>
  </si>
  <si>
    <t>H01804</t>
  </si>
  <si>
    <t>H00813</t>
  </si>
  <si>
    <t>H00221</t>
  </si>
  <si>
    <t>H00265</t>
  </si>
  <si>
    <t>H00407</t>
  </si>
  <si>
    <t>H00581</t>
  </si>
  <si>
    <t>H00818</t>
  </si>
  <si>
    <t>H00302-310</t>
  </si>
  <si>
    <t>H00166-170</t>
  </si>
  <si>
    <t>H00001-10</t>
  </si>
  <si>
    <t>H01201</t>
  </si>
  <si>
    <t xml:space="preserve">HOUSING TOTAL </t>
  </si>
  <si>
    <t>Peel environment ph 2</t>
  </si>
  <si>
    <t>Amblecote environment</t>
  </si>
  <si>
    <t>Mt skip environment</t>
  </si>
  <si>
    <t>Peel homes for all</t>
  </si>
  <si>
    <t>Armitage  environment ph 1</t>
  </si>
  <si>
    <t>Security-wrotham  close</t>
  </si>
  <si>
    <t xml:space="preserve">Security-albion / spruce </t>
  </si>
  <si>
    <t>Security-heraldic</t>
  </si>
  <si>
    <t>Heating/rewires-wyndham</t>
  </si>
  <si>
    <t>Heating/rewires-deans court</t>
  </si>
  <si>
    <t>Gas heating-moss vale ph 1</t>
  </si>
  <si>
    <t>Gas heating-beehive</t>
  </si>
  <si>
    <t>Gas heating-lancaster rd</t>
  </si>
  <si>
    <t>Gas heating-l broughton rd</t>
  </si>
  <si>
    <t>Heating boiler-alex gardens</t>
  </si>
  <si>
    <t>Security-stoney  knoll/gloverfield</t>
  </si>
  <si>
    <t xml:space="preserve">Walkways-seedley terrace/ailsa </t>
  </si>
  <si>
    <t>Kitchens-l broughton ph 1/tootal ph 1</t>
  </si>
  <si>
    <t>Internals-admiralty</t>
  </si>
  <si>
    <t>Internals-meadowgate</t>
  </si>
  <si>
    <t>Internals-cliveley</t>
  </si>
  <si>
    <t>Internals-amblecote</t>
  </si>
  <si>
    <t>2 Kersal Avenue</t>
  </si>
  <si>
    <t>Sale of land 20 Worcester Road</t>
  </si>
  <si>
    <t>Hope Street</t>
  </si>
  <si>
    <t>Sale of Land Canalside, Monton Green</t>
  </si>
  <si>
    <t>3 Plots of land Cleggs lane/Ravencraig Road</t>
  </si>
  <si>
    <t>Amersham st phase 1</t>
  </si>
  <si>
    <t>Albion towers</t>
  </si>
  <si>
    <t>Fitzwarren court refurbishment</t>
  </si>
  <si>
    <t>Ordsall-linden gr ph 3(nwo ph 2)</t>
  </si>
  <si>
    <t xml:space="preserve"> Ordsall-burnett (nwo ph 3)</t>
  </si>
  <si>
    <t xml:space="preserve">   Srb /cc schemes</t>
  </si>
  <si>
    <t>Broadwalk west phase 2</t>
  </si>
  <si>
    <t>Structural-spruce</t>
  </si>
  <si>
    <t>Lifts-newbank / riverbank</t>
  </si>
  <si>
    <t>Sheltered homes -extra care work</t>
  </si>
  <si>
    <t xml:space="preserve">SURPLUS/(SHORTFALL) IN CAPITAL RECEIPTS </t>
  </si>
  <si>
    <t>RECEIPTS BROUGHT FORWARD</t>
  </si>
  <si>
    <t>ESTIMATED RECEIPTS FOR 2004/05</t>
  </si>
  <si>
    <t>SSA-Broughton - Hanover court demolition</t>
  </si>
  <si>
    <t>SSA-Broughton - Meadow Road</t>
  </si>
  <si>
    <t>SCE (R)</t>
  </si>
  <si>
    <t>Single capital pot</t>
  </si>
  <si>
    <t>SSA-Broughton - Albert Park development</t>
  </si>
  <si>
    <t>HI-Broughton -Facelifts -Gt Cheetham st west</t>
  </si>
  <si>
    <t>HI-Broughton -Facelifts-lower broughton road phase 1</t>
  </si>
  <si>
    <t>Weaste - Gore Crescent Disturbance</t>
  </si>
  <si>
    <t>SSA - Bridson ph 2 acquisitions</t>
  </si>
  <si>
    <t>SSA - Nelson st acquisitions</t>
  </si>
  <si>
    <t>SSA - Knowsley Green Acquisitions/demlition</t>
  </si>
  <si>
    <t>SSA - Legendary properties</t>
  </si>
  <si>
    <t>Demolition / Site Treatment-( H booth) need forecast</t>
  </si>
  <si>
    <t>HI - enforcement</t>
  </si>
  <si>
    <t>Area office disabled adaptations</t>
  </si>
  <si>
    <t>Multi storey satellite tv</t>
  </si>
  <si>
    <t>Refurb  of acquireds</t>
  </si>
  <si>
    <t>195k for 04/05  and again in 05/06 funded from DSO reveneu surplus £40k per year</t>
  </si>
  <si>
    <t>Structural repairs-ad hoc</t>
  </si>
  <si>
    <t>Security</t>
  </si>
  <si>
    <t>Turnpike office alterations</t>
  </si>
  <si>
    <t>Wardley partial rewire</t>
  </si>
  <si>
    <t>Temple drive electrical upgrade</t>
  </si>
  <si>
    <t>Dudley rd heating</t>
  </si>
  <si>
    <t>Meadows heating</t>
  </si>
  <si>
    <t>Baines ave roofing</t>
  </si>
  <si>
    <t>Crossfields roofing</t>
  </si>
  <si>
    <t>Warren st roofing</t>
  </si>
  <si>
    <t>Mitchell st rewire/kitchens</t>
  </si>
  <si>
    <t>0.031hope hospital contribution, 0.005 DDA, 0.002 other contribution</t>
  </si>
  <si>
    <t>E05017</t>
  </si>
  <si>
    <t>E05021</t>
  </si>
  <si>
    <t>E05025</t>
  </si>
  <si>
    <t>E05034</t>
  </si>
  <si>
    <t>E05035</t>
  </si>
  <si>
    <t>E05036</t>
  </si>
  <si>
    <t>Irlam Bulkehead</t>
  </si>
  <si>
    <t>St Patricks</t>
  </si>
  <si>
    <t>Portfolio Manager/ Comm sports Dev Officers</t>
  </si>
  <si>
    <t>Jewish School</t>
  </si>
  <si>
    <t>Jewish School Girls School</t>
  </si>
  <si>
    <t>Jewish School Talmud Torah</t>
  </si>
  <si>
    <t>Peel green rd rewire,kitchen/bath</t>
  </si>
  <si>
    <t>Worsley package 1</t>
  </si>
  <si>
    <t>Block Improvements to Properties in Weaste Phase 3</t>
  </si>
  <si>
    <t>HMRF and Capital receipts</t>
  </si>
  <si>
    <t>Block Improvements to Properties in the Arrowhead Charlestown</t>
  </si>
  <si>
    <t>Cadishead Way Stage 2 - Landscaping Works Phase 1</t>
  </si>
  <si>
    <t>HMRF, New Deal and Capital receipts</t>
  </si>
  <si>
    <t>Supported Borrowing</t>
  </si>
  <si>
    <t>A5066 Adelphi Street/ Silk Street Primary Route Network Resurfacing</t>
  </si>
  <si>
    <t>Refurbishment of toilet and bathroom facilities, Alexandra House</t>
  </si>
  <si>
    <t>Capital receipts and RCCO</t>
  </si>
  <si>
    <t>Eccles package 1</t>
  </si>
  <si>
    <t>Eccles package 2</t>
  </si>
  <si>
    <t>DDA Buildings</t>
  </si>
  <si>
    <t>D07230-d07259</t>
  </si>
  <si>
    <t>D00176</t>
  </si>
  <si>
    <t>D00177</t>
  </si>
  <si>
    <t>D00178</t>
  </si>
  <si>
    <t>D00179</t>
  </si>
  <si>
    <t>Oxford Road Remedial Traffic Calming</t>
  </si>
  <si>
    <t>D00930</t>
  </si>
  <si>
    <t>D00932</t>
  </si>
  <si>
    <t>Station Road Puffin Crossing</t>
  </si>
  <si>
    <t>DDA Footpaths</t>
  </si>
  <si>
    <t>D07200-d07229</t>
  </si>
  <si>
    <t>D07260-D07299</t>
  </si>
  <si>
    <t>Eccles package 3</t>
  </si>
  <si>
    <t>Eccles package 4</t>
  </si>
  <si>
    <t>Swinton package 1</t>
  </si>
  <si>
    <t>complete</t>
  </si>
  <si>
    <t>The Limes - Fire Safety</t>
  </si>
  <si>
    <t>0.678 grant extra care housing fund</t>
  </si>
  <si>
    <t>solid fuel heating</t>
  </si>
  <si>
    <t>Peel ph 5 environment</t>
  </si>
  <si>
    <t>Meadowgate</t>
  </si>
  <si>
    <t>H50564</t>
  </si>
  <si>
    <t>cliveley Environment ph 1</t>
  </si>
  <si>
    <t>H50585</t>
  </si>
  <si>
    <t>Security of Open spaces</t>
  </si>
  <si>
    <t>Swinton package 2</t>
  </si>
  <si>
    <t>Swinton package 3</t>
  </si>
  <si>
    <t>Salford south package 1</t>
  </si>
  <si>
    <t>Salford south package 2</t>
  </si>
  <si>
    <t>Salford south package 3</t>
  </si>
  <si>
    <t>Salford north package 1</t>
  </si>
  <si>
    <t>Ppr package 1</t>
  </si>
  <si>
    <t>Package 1</t>
  </si>
  <si>
    <t>Package 2</t>
  </si>
  <si>
    <t>Package 3</t>
  </si>
  <si>
    <t>Package 4</t>
  </si>
  <si>
    <t>Package 5</t>
  </si>
  <si>
    <t>Package 6</t>
  </si>
  <si>
    <t>Package 7</t>
  </si>
  <si>
    <t>Package 8</t>
  </si>
  <si>
    <t>Package 9</t>
  </si>
  <si>
    <t>Package 10</t>
  </si>
  <si>
    <t>on sap d99999 7027</t>
  </si>
  <si>
    <t>Croal Irwell  Access/Fencing</t>
  </si>
  <si>
    <t>Package 11</t>
  </si>
  <si>
    <t>Package 12</t>
  </si>
  <si>
    <t>Package 13</t>
  </si>
  <si>
    <t>Package 14</t>
  </si>
  <si>
    <t>Package 15</t>
  </si>
  <si>
    <t>Package 16</t>
  </si>
  <si>
    <t>Package 17</t>
  </si>
  <si>
    <t>Package 18</t>
  </si>
  <si>
    <t>Package 19</t>
  </si>
  <si>
    <t>Package 20</t>
  </si>
  <si>
    <t>Package 21</t>
  </si>
  <si>
    <t>Package 22</t>
  </si>
  <si>
    <t>section 106</t>
  </si>
  <si>
    <t>F00013</t>
  </si>
  <si>
    <t>F00018</t>
  </si>
  <si>
    <t>F00025</t>
  </si>
  <si>
    <t>Beechfarm</t>
  </si>
  <si>
    <t>Peel Park</t>
  </si>
  <si>
    <t>Sharp Street, Walkden</t>
  </si>
  <si>
    <t>Package 23</t>
  </si>
  <si>
    <t>Ash drive</t>
  </si>
  <si>
    <t>Jackson st</t>
  </si>
  <si>
    <t>Higher irlam ph 4</t>
  </si>
  <si>
    <t>Completed 09/09/04</t>
  </si>
  <si>
    <t>Page 8</t>
  </si>
  <si>
    <t>Page 10</t>
  </si>
  <si>
    <t>Page 2</t>
  </si>
  <si>
    <t>Page 3</t>
  </si>
  <si>
    <t>Page 4</t>
  </si>
  <si>
    <t>Page 5</t>
  </si>
  <si>
    <t>Page 6</t>
  </si>
  <si>
    <t>Page 7</t>
  </si>
  <si>
    <t>Page 9</t>
  </si>
  <si>
    <t>Hereford  rd/salisbury rd</t>
  </si>
  <si>
    <t>St georges ct/peel pk cres</t>
  </si>
  <si>
    <t>De traffords</t>
  </si>
  <si>
    <t>Structural repairs</t>
  </si>
  <si>
    <t>Concrete floors</t>
  </si>
  <si>
    <t>Peel green</t>
  </si>
  <si>
    <t>Eccles/l hulton</t>
  </si>
  <si>
    <t>Green avenue ,swinton</t>
  </si>
  <si>
    <t>Greyfriars court</t>
  </si>
  <si>
    <t>Black/whitefriars</t>
  </si>
  <si>
    <t>Apple/pear/peach</t>
  </si>
  <si>
    <t>Elderly adaptations</t>
  </si>
  <si>
    <t>Salford north office improvements</t>
  </si>
  <si>
    <t>Capitalised salaries (dpu/ct)</t>
  </si>
  <si>
    <t>Advance fees</t>
  </si>
  <si>
    <t>2004/5 burglary reduction initiative</t>
  </si>
  <si>
    <t>Peel ph 4 environment</t>
  </si>
  <si>
    <t>Armitage ph 3 environment</t>
  </si>
  <si>
    <t>Mount skip ph 2 environment</t>
  </si>
  <si>
    <t>Rockley gardens</t>
  </si>
  <si>
    <t>Floral court car park</t>
  </si>
  <si>
    <t>Birch rd / old clough env't</t>
  </si>
  <si>
    <t>Admiralty environment</t>
  </si>
  <si>
    <t>Philip st phase 2 security</t>
  </si>
  <si>
    <t>Greengate car parking</t>
  </si>
  <si>
    <t>Jennings / tamworth / wesley</t>
  </si>
  <si>
    <t>Tootal drive ph 3 environment</t>
  </si>
  <si>
    <t>Castleway ph 1 environment</t>
  </si>
  <si>
    <t>Valley  ph 2 environment</t>
  </si>
  <si>
    <t>Armitage ph 2 environment</t>
  </si>
  <si>
    <t>Peel ph 3 environment</t>
  </si>
  <si>
    <t>Melbourne st environment</t>
  </si>
  <si>
    <t>District Heating-London St / Lissadel St</t>
  </si>
  <si>
    <t>Whit lane  / littleton rd</t>
  </si>
  <si>
    <t>Littleton rd water pipes</t>
  </si>
  <si>
    <t>Littleton rd internals</t>
  </si>
  <si>
    <t>Whit lane internals</t>
  </si>
  <si>
    <t>Littleton rd externals</t>
  </si>
  <si>
    <t>Whit lane externals</t>
  </si>
  <si>
    <t>Lower broughton  env'l  ph 1</t>
  </si>
  <si>
    <t>Conserving and Developing Ordsall Hall</t>
  </si>
  <si>
    <t>Lower broughton  env'l  ph 2</t>
  </si>
  <si>
    <t>Lower broughton  env'l  ph 3a/4a</t>
  </si>
  <si>
    <t>.159 carry forwar cap receipts from 03/04 due to unused BCA</t>
  </si>
  <si>
    <t>Central Station Study</t>
  </si>
  <si>
    <t>Oaklands Road</t>
  </si>
  <si>
    <t>Lower broughton  env'l  ph 3</t>
  </si>
  <si>
    <t>funded from savings on tripping claims</t>
  </si>
  <si>
    <t>D00050</t>
  </si>
  <si>
    <t>E00024</t>
  </si>
  <si>
    <t>Primary Review North Grecian Street</t>
  </si>
  <si>
    <t>E03096</t>
  </si>
  <si>
    <t xml:space="preserve">NDS Cond Moorside High Roofing </t>
  </si>
  <si>
    <t>E04621</t>
  </si>
  <si>
    <t>DFC Clarendon Road</t>
  </si>
  <si>
    <t>E04634</t>
  </si>
  <si>
    <t>DFC Lewis Street</t>
  </si>
  <si>
    <t>E04651</t>
  </si>
  <si>
    <t>DFC Westwood Park</t>
  </si>
  <si>
    <t>E04664</t>
  </si>
  <si>
    <t>DFC St Pauls CE Neville Road</t>
  </si>
  <si>
    <t>Pavement Improvements Pilot Works</t>
  </si>
  <si>
    <t>Lower broughton  env'l  ph 4</t>
  </si>
  <si>
    <t>Lower broughton temp. Treatm't ph 2</t>
  </si>
  <si>
    <t>Spike island-ptp ph 1</t>
  </si>
  <si>
    <t xml:space="preserve"> Environment  ph 1</t>
  </si>
  <si>
    <t>Commitments</t>
  </si>
  <si>
    <t>Alder park</t>
  </si>
  <si>
    <t>Lancaster rd</t>
  </si>
  <si>
    <t>Brookhouse ph 1</t>
  </si>
  <si>
    <t>Brookhouse ph 2</t>
  </si>
  <si>
    <t xml:space="preserve"> Tootal dr ph 2 / victory rd</t>
  </si>
  <si>
    <t>Advance fees / surveys</t>
  </si>
  <si>
    <t>Cloughfield</t>
  </si>
  <si>
    <t>Hospital road</t>
  </si>
  <si>
    <t>New islington</t>
  </si>
  <si>
    <t>Mossfield rd</t>
  </si>
  <si>
    <t>Wardley</t>
  </si>
  <si>
    <t>Brookhouse ph 3</t>
  </si>
  <si>
    <t>Castleway</t>
  </si>
  <si>
    <t>Grosvenor ph 1</t>
  </si>
  <si>
    <t>Lane end</t>
  </si>
  <si>
    <t>Cawdor st</t>
  </si>
  <si>
    <t>Brentwood</t>
  </si>
  <si>
    <t>Duchy ph 1</t>
  </si>
  <si>
    <t>Duchy ph 2</t>
  </si>
  <si>
    <t>Hill top ph 1</t>
  </si>
  <si>
    <t>Hill top ph 2/3</t>
  </si>
  <si>
    <t xml:space="preserve">HI-Langworthy North ph 2-dsd </t>
  </si>
  <si>
    <t xml:space="preserve">HI-Langworthy North ph 3-dsd </t>
  </si>
  <si>
    <t xml:space="preserve">HI-Langworthy North ph 4-dsd </t>
  </si>
  <si>
    <t>HI-Langworthy North ph 5-dsd</t>
  </si>
  <si>
    <t xml:space="preserve">HI-Langworthy North ph 6-dsd </t>
  </si>
  <si>
    <t>HI-Seedley west remodel ph 1- dsd</t>
  </si>
  <si>
    <t>HI-Seedley west remodel ph 2-dsd</t>
  </si>
  <si>
    <t>West  of Seedley pk rd ph 2 (mmha)(HI)</t>
  </si>
  <si>
    <t>West  of Seedley pk rd ph 3 (dsd)(HI)-dsd</t>
  </si>
  <si>
    <t>Environmental work(3/4 New Starts)(SN)</t>
  </si>
  <si>
    <t>Highfield / Fitzwarren alleygating(SN)</t>
  </si>
  <si>
    <t>SHOP REFURBISHMENTS</t>
  </si>
  <si>
    <t>phase 1 (dsd)</t>
  </si>
  <si>
    <t>phase 2(dsd)</t>
  </si>
  <si>
    <t xml:space="preserve"> GAP FUNDING</t>
  </si>
  <si>
    <t xml:space="preserve">          SD-Urban Splash</t>
  </si>
  <si>
    <t>LIVING ENVIRONMENT TEAM</t>
  </si>
  <si>
    <t>H50287</t>
  </si>
  <si>
    <t>H50083</t>
  </si>
  <si>
    <t>H50223</t>
  </si>
  <si>
    <t>H50230</t>
  </si>
  <si>
    <t>H50228</t>
  </si>
  <si>
    <t>H50251</t>
  </si>
  <si>
    <t>H50263</t>
  </si>
  <si>
    <t>16.100MRA,  0.676 HRA, 0.678 extra care housing fund</t>
  </si>
  <si>
    <t>General Fund - Properties and Land</t>
  </si>
  <si>
    <t xml:space="preserve">            ASSET</t>
  </si>
  <si>
    <t xml:space="preserve">       CAPITAL</t>
  </si>
  <si>
    <t xml:space="preserve">   USABLE</t>
  </si>
  <si>
    <t xml:space="preserve">       RECEIPT</t>
  </si>
  <si>
    <t xml:space="preserve">          SD-Marketing and Publicity</t>
  </si>
  <si>
    <t>Right to Buy reacquisitions</t>
  </si>
  <si>
    <t>Ninian Gardens</t>
  </si>
  <si>
    <t>Citywide insulation</t>
  </si>
  <si>
    <t xml:space="preserve">    Amount</t>
  </si>
  <si>
    <t xml:space="preserve">         £000s</t>
  </si>
  <si>
    <t xml:space="preserve">      £000s</t>
  </si>
  <si>
    <t>COMPLETED DISPOSALS</t>
  </si>
  <si>
    <t>Housing Right-to-Buy</t>
  </si>
  <si>
    <t>TOTAL COMPLETED</t>
  </si>
  <si>
    <t>APPROVED DISPOSALS</t>
  </si>
  <si>
    <t>TOTAL ESTIMATED DISPOSALS</t>
  </si>
  <si>
    <t>TOTAL ESTIMATED RECEIPTS</t>
  </si>
  <si>
    <t>EDUCATION</t>
  </si>
  <si>
    <t>HIGHWAYS</t>
  </si>
  <si>
    <t>SOCIAL SERVICES</t>
  </si>
  <si>
    <t>ARTS &amp; LEISURE</t>
  </si>
  <si>
    <t>ERDF</t>
  </si>
  <si>
    <t>DEVELOPMENT SERVICES</t>
  </si>
  <si>
    <t>£m</t>
  </si>
  <si>
    <t>%</t>
  </si>
  <si>
    <t>Prop'n</t>
  </si>
  <si>
    <t>Total</t>
  </si>
  <si>
    <t>Housing Land</t>
  </si>
  <si>
    <t>Scheme Details</t>
  </si>
  <si>
    <t>Costs</t>
  </si>
  <si>
    <t>Source of</t>
  </si>
  <si>
    <t>Funding</t>
  </si>
  <si>
    <t>Onwards</t>
  </si>
  <si>
    <t>Contract</t>
  </si>
  <si>
    <t>Start</t>
  </si>
  <si>
    <t>Finish</t>
  </si>
  <si>
    <t>Devolved Capital Formula</t>
  </si>
  <si>
    <t>Seed Challenge</t>
  </si>
  <si>
    <t>The Albion</t>
  </si>
  <si>
    <t>Schools Access Initiative</t>
  </si>
  <si>
    <t>EDUCATION - TOTAL</t>
  </si>
  <si>
    <t>Local Safety schemes</t>
  </si>
  <si>
    <t>Principal Roads Structural Maintenance</t>
  </si>
  <si>
    <t xml:space="preserve">Bridge Assessment and Strengthening Schemes </t>
  </si>
  <si>
    <t>Other Minor Schemes</t>
  </si>
  <si>
    <t>HIGHWAYS - TOTAL</t>
  </si>
  <si>
    <t>SOCIAL SERVICES -TOTAL</t>
  </si>
  <si>
    <t>ARTS &amp; LEISURE - TOTAL</t>
  </si>
  <si>
    <t>DEVELOPMENT SERVICES - TOTAL</t>
  </si>
  <si>
    <t>ENVIRONMENTAL SERVICES</t>
  </si>
  <si>
    <t>CORPORATE SERVICES</t>
  </si>
  <si>
    <t>Capitalisation of Revenue</t>
  </si>
  <si>
    <t>TOTAL</t>
  </si>
  <si>
    <t>Site Assembly / Acquisition Temp Treatment Works</t>
  </si>
  <si>
    <t>Housing Land &amp; Property</t>
  </si>
  <si>
    <t>2004/05</t>
  </si>
  <si>
    <t>Development Services</t>
  </si>
  <si>
    <t>New Deal Condition / Modernisation</t>
  </si>
  <si>
    <t>Capitalised Salaries</t>
  </si>
  <si>
    <t>Wentworth High School</t>
  </si>
  <si>
    <t xml:space="preserve">Public Transport Schemes </t>
  </si>
  <si>
    <t>Schemes to Assist Cycling</t>
  </si>
  <si>
    <t>Modernising ICT Infrastructure</t>
  </si>
  <si>
    <t>Buille Hill Park Restoration</t>
  </si>
  <si>
    <t>Gateway</t>
  </si>
  <si>
    <t>Minor Works Fund</t>
  </si>
  <si>
    <t>Library Service - Computerisation</t>
  </si>
  <si>
    <t>Barton SES</t>
  </si>
  <si>
    <t>Less - Costs to be set against capital receipts</t>
  </si>
  <si>
    <t>Cadishead Way Stage 2</t>
  </si>
  <si>
    <t>NWDA</t>
  </si>
  <si>
    <t>Ordsall Recreation Centre</t>
  </si>
  <si>
    <t>RCCO</t>
  </si>
  <si>
    <t>CAPITAL RECEIPTS</t>
  </si>
  <si>
    <t>GRANT</t>
  </si>
  <si>
    <t>OTHER</t>
  </si>
  <si>
    <t>TSG</t>
  </si>
  <si>
    <t>DFG</t>
  </si>
  <si>
    <t>SRB</t>
  </si>
  <si>
    <t>NDC</t>
  </si>
  <si>
    <t>Lottery</t>
  </si>
  <si>
    <t>HMRF</t>
  </si>
  <si>
    <t>Other</t>
  </si>
  <si>
    <t>Notes</t>
  </si>
  <si>
    <t>NDS</t>
  </si>
  <si>
    <t>DFC</t>
  </si>
  <si>
    <t>SEED</t>
  </si>
  <si>
    <t>STANDARDS FUND</t>
  </si>
  <si>
    <t>Home Office</t>
  </si>
  <si>
    <t>Surestart</t>
  </si>
  <si>
    <t>Winton Community Library</t>
  </si>
  <si>
    <t>Capital Programme 2004/05</t>
  </si>
  <si>
    <t>Harrop Fold Surplus Place Removal</t>
  </si>
  <si>
    <t>Hope High / Buille Hill High Surplus Places</t>
  </si>
  <si>
    <t>PFI 2 3 New high schools</t>
  </si>
  <si>
    <t>PFI Bid new facilities - 3 Secondary Schools fees</t>
  </si>
  <si>
    <t>Playgroup Conversion</t>
  </si>
  <si>
    <t>Primary Review</t>
  </si>
  <si>
    <t>St Augustines CoE</t>
  </si>
  <si>
    <t>Surplus Place Removal St Clements / Radclyffe</t>
  </si>
  <si>
    <t>2005/06</t>
  </si>
  <si>
    <t>The Beacon Centre (Young Peoples Resource Centre)</t>
  </si>
  <si>
    <t>Manchester/Salford Inner Relief Route</t>
  </si>
  <si>
    <t>Day Services Modernisation</t>
  </si>
  <si>
    <t>Chestnut Ave Depot</t>
  </si>
  <si>
    <t>Parks Infrastructure Improvements</t>
  </si>
  <si>
    <t>Recycling Bring Sites</t>
  </si>
  <si>
    <t>ENVIRONMENTAL SERVICES - TOTAL</t>
  </si>
  <si>
    <t>Cleavley Athletic Track</t>
  </si>
  <si>
    <t>DDA improvements</t>
  </si>
  <si>
    <t>Littleton Road Development</t>
  </si>
  <si>
    <t xml:space="preserve">CHIEF EXECUTIVE </t>
  </si>
  <si>
    <t>Environ/Shop Front Improvements &amp; Expanding Boundaries</t>
  </si>
  <si>
    <t>Irwell Corridor EDZ</t>
  </si>
  <si>
    <t>Identifying Oppurtunities</t>
  </si>
  <si>
    <t>Living Environment Team</t>
  </si>
  <si>
    <t>CHIEF EXECUTIVE - TOTAL</t>
  </si>
  <si>
    <t>Liverpool Road Area Eccles</t>
  </si>
  <si>
    <t>Restoration of Manchester, Bolton and Bury Canal</t>
  </si>
  <si>
    <t>EP</t>
  </si>
  <si>
    <t>management information grant</t>
  </si>
  <si>
    <t>£135k sport england</t>
  </si>
  <si>
    <t>£0.200m private contributions</t>
  </si>
  <si>
    <t>Trinity Park Improvements</t>
  </si>
  <si>
    <t>Swinton Library Temporary Relocation</t>
  </si>
  <si>
    <t>lift enabling fund</t>
  </si>
  <si>
    <t>Improvements to the Highway network</t>
  </si>
  <si>
    <t>Guild Hall Community Centre</t>
  </si>
  <si>
    <t>contribution from E&amp;L</t>
  </si>
  <si>
    <t>Oakwood Play area</t>
  </si>
  <si>
    <t>section 106 from G Wimpey</t>
  </si>
  <si>
    <t>29 and 29a Fairhurst Drive</t>
  </si>
  <si>
    <t>Lift Properties</t>
  </si>
  <si>
    <t>d5106</t>
  </si>
  <si>
    <t>programme including unfunded from 03/04</t>
  </si>
  <si>
    <t>summary</t>
  </si>
  <si>
    <t>NEW DEAL KERSAL/CHARLESTOWN</t>
  </si>
  <si>
    <t>RETENTIONS</t>
  </si>
  <si>
    <t xml:space="preserve"> 04/05 PROGRAMME TOTAL</t>
  </si>
  <si>
    <t>EFFECT OF 03/04 OUTTURN</t>
  </si>
  <si>
    <t>PROGRAMME TOTAL</t>
  </si>
  <si>
    <t>Resources and overprogramming</t>
  </si>
  <si>
    <t>.300 broughton meadow road</t>
  </si>
  <si>
    <t>spend on d99999 7015 144k</t>
  </si>
  <si>
    <t>spend on 7027, unapportioned on 7015</t>
  </si>
  <si>
    <t>empty c00060</t>
  </si>
  <si>
    <t>Eccles Town Hall Office Move</t>
  </si>
  <si>
    <t>RECEIPTS REQUIRED FOR 2004/05 CAPITAL PROGRAMME</t>
  </si>
  <si>
    <t>E05010</t>
  </si>
  <si>
    <t>Cleavley playing fields</t>
  </si>
  <si>
    <t>Panel Costs</t>
  </si>
  <si>
    <t>Fleisham/Creative Concern</t>
  </si>
  <si>
    <t>Consortia Fees</t>
  </si>
  <si>
    <t>International Competition</t>
  </si>
  <si>
    <t>A21002</t>
  </si>
  <si>
    <t>A21003</t>
  </si>
  <si>
    <t>A21006</t>
  </si>
  <si>
    <t>E00027</t>
  </si>
  <si>
    <t>Clarendon Road CP</t>
  </si>
  <si>
    <t>E00505</t>
  </si>
  <si>
    <t>Joseph Eastham High - refurb of labs</t>
  </si>
  <si>
    <t>E01008</t>
  </si>
  <si>
    <t>E01502</t>
  </si>
  <si>
    <t>Newcroft HS - PMLD Unit</t>
  </si>
  <si>
    <t>E04669</t>
  </si>
  <si>
    <t>DFC Harrop Fold</t>
  </si>
  <si>
    <t>E04675</t>
  </si>
  <si>
    <t>DFC Wentworth</t>
  </si>
  <si>
    <t>E04678</t>
  </si>
  <si>
    <t>DFC Oakwood</t>
  </si>
  <si>
    <t>E03058</t>
  </si>
  <si>
    <t>NDS4 - Swinton High School Laboratories</t>
  </si>
  <si>
    <t>E03052</t>
  </si>
  <si>
    <t>NDS4 - Joseph Eastham High School Laboratories</t>
  </si>
  <si>
    <t>E03089</t>
  </si>
  <si>
    <t>NDS Cond - St Pauls H/Side Roof &amp; Vent</t>
  </si>
  <si>
    <t>E03098</t>
  </si>
  <si>
    <t xml:space="preserve">NDS Cond Mossfield CP Roofing </t>
  </si>
  <si>
    <t>E03106</t>
  </si>
  <si>
    <t>NDS Cond Moorside High Window Replacement</t>
  </si>
  <si>
    <t>E03126</t>
  </si>
  <si>
    <t>Langworthy Road Playground</t>
  </si>
  <si>
    <t>E03133</t>
  </si>
  <si>
    <t>E03135</t>
  </si>
  <si>
    <t>NDS Cond Harropfold Drainage works</t>
  </si>
  <si>
    <t>E03136</t>
  </si>
  <si>
    <t>E03137</t>
  </si>
  <si>
    <t>E03139</t>
  </si>
  <si>
    <t>E03140</t>
  </si>
  <si>
    <t>E03141</t>
  </si>
  <si>
    <t>E03142</t>
  </si>
  <si>
    <t>E03143</t>
  </si>
  <si>
    <t>NDS Cond Hilton Lane heating works</t>
  </si>
  <si>
    <t>NDS Cond Peel Hall CP Flagging works</t>
  </si>
  <si>
    <t>NDS Cond Dukesgate CP Playground</t>
  </si>
  <si>
    <t>NDS Cond Grosvenor Road Playground</t>
  </si>
  <si>
    <t>NDS Cond Marlborough Road Playground</t>
  </si>
  <si>
    <t>NDS Cond Moorfield CP Playground</t>
  </si>
  <si>
    <t>NDS Cond Bridgewater CP boiler replacement</t>
  </si>
  <si>
    <t>Land at Watkin Street</t>
  </si>
  <si>
    <t>John St/Bury St Blackfriars</t>
  </si>
  <si>
    <t>Unit P, Highfield Rd industrial estate</t>
  </si>
  <si>
    <t>200 204 Liverpool Road</t>
  </si>
  <si>
    <t>calc +h00918, 919</t>
  </si>
  <si>
    <t>will be achieived in tranches between oct 04 and march 05</t>
  </si>
  <si>
    <t>Moorfield House</t>
  </si>
  <si>
    <t xml:space="preserve">December </t>
  </si>
  <si>
    <t>h00575 h00915</t>
  </si>
  <si>
    <t>h00936-h00943, h00945-h00950</t>
  </si>
  <si>
    <t>h01306</t>
  </si>
  <si>
    <t>h01257</t>
  </si>
  <si>
    <t>calc</t>
  </si>
  <si>
    <t>H00566 h00580, h00981</t>
  </si>
  <si>
    <t>E02029</t>
  </si>
  <si>
    <t>Education slippage</t>
  </si>
  <si>
    <t xml:space="preserve">Winton </t>
  </si>
  <si>
    <t>Larkhilll Childrens Centre</t>
  </si>
  <si>
    <t>0.092 employment project fund</t>
  </si>
  <si>
    <t>Zoneparcs (Sporting playgrounds)</t>
  </si>
  <si>
    <t>surestart to be invoiced</t>
  </si>
  <si>
    <t>E00006</t>
  </si>
  <si>
    <t>Moorside Primary Schools Renewal Challenge Arch Fees</t>
  </si>
  <si>
    <t>Old schemes</t>
  </si>
  <si>
    <t>E04755</t>
  </si>
  <si>
    <t>S09051</t>
  </si>
  <si>
    <t>E03108</t>
  </si>
  <si>
    <t>NDS condition lightoaks junior window replacement</t>
  </si>
  <si>
    <t>City wide surveys</t>
  </si>
  <si>
    <t>Aspinall Drive</t>
  </si>
  <si>
    <t>Cedar Place</t>
  </si>
  <si>
    <t>Security-South King Street</t>
  </si>
  <si>
    <t>Thorn Court Partnering scheme</t>
  </si>
  <si>
    <t>November/December</t>
  </si>
  <si>
    <t>Auction Dec 04</t>
  </si>
  <si>
    <t>October-November</t>
  </si>
  <si>
    <t>not on sap yet</t>
  </si>
  <si>
    <t>section 106 from development of site of former Lima public house</t>
  </si>
  <si>
    <t>S05103</t>
  </si>
  <si>
    <t>Brynheys - Car park</t>
  </si>
  <si>
    <t>S05108</t>
  </si>
  <si>
    <t>The Withies New Lift</t>
  </si>
  <si>
    <t>0.074 PCT</t>
  </si>
  <si>
    <t>0.020 community contributions</t>
  </si>
  <si>
    <t>community contribtuions 0.073</t>
  </si>
  <si>
    <t>0.003 community contributions, 0.070 DDA</t>
  </si>
  <si>
    <t>East Ordsall Lane Canal Bridge</t>
  </si>
  <si>
    <t>D00931</t>
  </si>
  <si>
    <t>Chapel St/New Bailey St Ped Facilities</t>
  </si>
  <si>
    <t>Chasley fields</t>
  </si>
  <si>
    <t xml:space="preserve">Lead Member Corporate Services - 2004/05 Tender Approvals </t>
  </si>
  <si>
    <t>2004/05 Estimate</t>
  </si>
  <si>
    <t>Resources 2004/05</t>
  </si>
  <si>
    <t>Profiled spend</t>
  </si>
  <si>
    <t>RING FENCED</t>
  </si>
  <si>
    <r>
      <t xml:space="preserve">                                                         </t>
    </r>
    <r>
      <rPr>
        <b/>
        <u val="single"/>
        <sz val="10"/>
        <rFont val="Arial"/>
        <family val="2"/>
      </rPr>
      <t>2004/05 ESTIMATED CAPITAL RECEIPTS</t>
    </r>
  </si>
  <si>
    <t xml:space="preserve">SAP </t>
  </si>
  <si>
    <t>REF</t>
  </si>
  <si>
    <t>F00007</t>
  </si>
  <si>
    <t>Roadway Works - Cemeteries</t>
  </si>
  <si>
    <t>Headstones - Cemeteries</t>
  </si>
  <si>
    <t>F00004</t>
  </si>
  <si>
    <t>F00008</t>
  </si>
  <si>
    <t>F00022</t>
  </si>
  <si>
    <t>F00021</t>
  </si>
  <si>
    <t>F00023</t>
  </si>
  <si>
    <t>F00024</t>
  </si>
  <si>
    <t>Crofters Heights site investigation</t>
  </si>
  <si>
    <t>F00012</t>
  </si>
  <si>
    <t>E05701</t>
  </si>
  <si>
    <t>E05703</t>
  </si>
  <si>
    <t>E05030</t>
  </si>
  <si>
    <t>E05031</t>
  </si>
  <si>
    <t>E05029</t>
  </si>
  <si>
    <t>E05033</t>
  </si>
  <si>
    <t>E05032</t>
  </si>
  <si>
    <t>E05011</t>
  </si>
  <si>
    <t>E05027</t>
  </si>
  <si>
    <t>Lledr Hall NOF/PE</t>
  </si>
  <si>
    <t>Worsley Pool NOF/PE</t>
  </si>
  <si>
    <t>E05004</t>
  </si>
  <si>
    <t>E05005</t>
  </si>
  <si>
    <t>E05006</t>
  </si>
  <si>
    <t>E05007</t>
  </si>
  <si>
    <t>SPACE Marlborough Road</t>
  </si>
  <si>
    <t>SPACE Moorfield Road</t>
  </si>
  <si>
    <t>SPACE St Peter's Primary</t>
  </si>
  <si>
    <t>SPACE Dukesgate primary</t>
  </si>
  <si>
    <t>S08056</t>
  </si>
  <si>
    <t>S09008</t>
  </si>
  <si>
    <t>S08055</t>
  </si>
  <si>
    <t>Modernising ICT Infrastructure 3/4</t>
  </si>
  <si>
    <t>S04006</t>
  </si>
  <si>
    <t>S00001</t>
  </si>
  <si>
    <t>Alterations to Property</t>
  </si>
  <si>
    <t>S00501</t>
  </si>
  <si>
    <t>IT for look after children</t>
  </si>
  <si>
    <t>S04004</t>
  </si>
  <si>
    <t>Mental health SCA (2002/2004)</t>
  </si>
  <si>
    <t>C00059</t>
  </si>
  <si>
    <t>C00061</t>
  </si>
  <si>
    <t>Lift Company</t>
  </si>
  <si>
    <t>A00009</t>
  </si>
  <si>
    <t>D00004</t>
  </si>
  <si>
    <t>D00005</t>
  </si>
  <si>
    <t>D00103</t>
  </si>
  <si>
    <t>Accident Investigation</t>
  </si>
  <si>
    <t>D00170</t>
  </si>
  <si>
    <t>Cantebury Gardens - Traffic Calming</t>
  </si>
  <si>
    <t>Rail Track Incursion works</t>
  </si>
  <si>
    <t>D00525</t>
  </si>
  <si>
    <t>D00605</t>
  </si>
  <si>
    <t>Deflectograph survys</t>
  </si>
  <si>
    <t>D00611</t>
  </si>
  <si>
    <t>A576 Cromwell Road</t>
  </si>
  <si>
    <t>D00614</t>
  </si>
  <si>
    <t>Structural Maintenance of Minor Roads</t>
  </si>
  <si>
    <t>D00703</t>
  </si>
  <si>
    <t>A56 Quality Bus Corridor</t>
  </si>
  <si>
    <t>D00912</t>
  </si>
  <si>
    <t>Disabled Facilities at Ped Crossings</t>
  </si>
  <si>
    <t>D00923</t>
  </si>
  <si>
    <t>Little Moss Lane</t>
  </si>
  <si>
    <t>E00017</t>
  </si>
  <si>
    <t>E00022</t>
  </si>
  <si>
    <t xml:space="preserve">Primary Review Westwood Park </t>
  </si>
  <si>
    <t>E04851</t>
  </si>
  <si>
    <t>E04627</t>
  </si>
  <si>
    <t xml:space="preserve">DFCThe Friars </t>
  </si>
  <si>
    <t>E04629</t>
  </si>
  <si>
    <t>.100 NRF, 0.025 cap receipts from chapel st regeneration</t>
  </si>
  <si>
    <t xml:space="preserve">DFC Hilton Lane </t>
  </si>
  <si>
    <t>E04631</t>
  </si>
  <si>
    <t xml:space="preserve">DFC James Brindley </t>
  </si>
  <si>
    <t>E04638</t>
  </si>
  <si>
    <t xml:space="preserve">DFC Marlborough Road </t>
  </si>
  <si>
    <t>E04656</t>
  </si>
  <si>
    <t xml:space="preserve">DFC St Andrews CE Eccles </t>
  </si>
  <si>
    <t>E04663</t>
  </si>
  <si>
    <t xml:space="preserve">DFC St Marys CE </t>
  </si>
  <si>
    <t>E04666</t>
  </si>
  <si>
    <t xml:space="preserve">DFC St Pauls Peel CE </t>
  </si>
  <si>
    <t>E04668</t>
  </si>
  <si>
    <t xml:space="preserve">DFC Buile Hill </t>
  </si>
  <si>
    <t>E04677</t>
  </si>
  <si>
    <t xml:space="preserve">DFC Newcroft </t>
  </si>
  <si>
    <t>E04686</t>
  </si>
  <si>
    <t xml:space="preserve">DFC Little Hulton Early Years Centre </t>
  </si>
  <si>
    <t>E03022</t>
  </si>
  <si>
    <t xml:space="preserve">Ph 2 Roofing -Little Hulton High </t>
  </si>
  <si>
    <t>E03065</t>
  </si>
  <si>
    <t xml:space="preserve">NDS Cond Light Oaks Jnr&amp;Inf -Re-roof </t>
  </si>
  <si>
    <t>E03075</t>
  </si>
  <si>
    <t xml:space="preserve">NDS Cond St Newcroft High H&amp;S issues </t>
  </si>
  <si>
    <t>E03077</t>
  </si>
  <si>
    <t xml:space="preserve">ModCon Marlborough Road CP Boiler </t>
  </si>
  <si>
    <t>E03084</t>
  </si>
  <si>
    <t xml:space="preserve">NDS Cond Moorside CP - Electrical Work </t>
  </si>
  <si>
    <t>E03085</t>
  </si>
  <si>
    <t xml:space="preserve">NDS Cond Moorside HS - Electrical Works </t>
  </si>
  <si>
    <t>E03087</t>
  </si>
  <si>
    <t xml:space="preserve">NDS Cond - Walkden HS - Electrical Work </t>
  </si>
  <si>
    <t>E03094</t>
  </si>
  <si>
    <t xml:space="preserve">NDS Cond Light Oaks PS Pipework </t>
  </si>
  <si>
    <t>E03095</t>
  </si>
  <si>
    <t xml:space="preserve">NDS Cond cadishead PS Boiler replacement </t>
  </si>
  <si>
    <t>E03111</t>
  </si>
  <si>
    <t xml:space="preserve">NDS Cond Irlam &amp; Cad High Window Repl. </t>
  </si>
  <si>
    <t>E03115</t>
  </si>
  <si>
    <t xml:space="preserve">Swinton High Window Replacement </t>
  </si>
  <si>
    <t>E03117</t>
  </si>
  <si>
    <t xml:space="preserve">Clarendon Road Window Replacement </t>
  </si>
  <si>
    <t>E03121</t>
  </si>
  <si>
    <t xml:space="preserve">planned spend on c99999 7027 </t>
  </si>
  <si>
    <t>C00063</t>
  </si>
  <si>
    <t xml:space="preserve">Lower Kersal CP Fencing </t>
  </si>
  <si>
    <t>E04603</t>
  </si>
  <si>
    <t xml:space="preserve">Seed Challenge 03/04 Schemes </t>
  </si>
  <si>
    <t>E00515</t>
  </si>
  <si>
    <t>Temp.Accom. Buille Hill/Harropfold/Hope</t>
  </si>
  <si>
    <t>E02026</t>
  </si>
  <si>
    <t>PFI 2 Preliminary Works</t>
  </si>
  <si>
    <t>E00510</t>
  </si>
  <si>
    <t>E02027</t>
  </si>
  <si>
    <t xml:space="preserve">Adult &amp; Community Learning </t>
  </si>
  <si>
    <t>E04751</t>
  </si>
  <si>
    <t xml:space="preserve">Barton Moss Neighbourhood Nursery </t>
  </si>
  <si>
    <t>E04555</t>
  </si>
  <si>
    <t xml:space="preserve">Nursery Education in Disadvantaged Areas </t>
  </si>
  <si>
    <t>E02004</t>
  </si>
  <si>
    <t xml:space="preserve">SCA Schools Access Initiative </t>
  </si>
  <si>
    <t>D01428</t>
  </si>
  <si>
    <t>D01450</t>
  </si>
  <si>
    <t>CORPORATE SERVICES - TOTAL</t>
  </si>
  <si>
    <t>PRIVATE SECTOR HOUSING</t>
  </si>
  <si>
    <t>PRIVATE SECTOR HOUSING -TOTAL</t>
  </si>
  <si>
    <t>PUBLIC SECTOR HOUSING</t>
  </si>
  <si>
    <t>PUBLIC SECTOR HOUSING - TOTAL</t>
  </si>
  <si>
    <t>Mental health SCE (R.)</t>
  </si>
  <si>
    <t>D01027</t>
  </si>
  <si>
    <t xml:space="preserve"> King Street Depot </t>
  </si>
  <si>
    <t>D01050</t>
  </si>
  <si>
    <t xml:space="preserve"> Relocation Eccles Permanent Market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</si>
</sst>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\ ;\(0.000\)"/>
    <numFmt numFmtId="165" formatCode="0.000"/>
    <numFmt numFmtId="166" formatCode="0\ ;\(0\)"/>
    <numFmt numFmtId="167" formatCode="#,##0.000"/>
    <numFmt numFmtId="168" formatCode="0.0"/>
    <numFmt numFmtId="169" formatCode="0.0000"/>
    <numFmt numFmtId="170" formatCode="_-&quot;£&quot;* #,##0.000_-;\-&quot;£&quot;* #,##0.000_-;_-&quot;£&quot;* &quot;-&quot;??_-;_-@_-"/>
    <numFmt numFmtId="171" formatCode="0.00000"/>
    <numFmt numFmtId="172" formatCode="#,##0.00;\(#,##0.00\)"/>
    <numFmt numFmtId="173" formatCode="#,##0.000;\(#,##0.000\)"/>
    <numFmt numFmtId="174" formatCode="#,##0;\(#,##0\)"/>
    <numFmt numFmtId="175" formatCode="#,##0_);[Red]\(#,##0\)"/>
    <numFmt numFmtId="176" formatCode="#,##0\ ;\(#,##0\)"/>
    <numFmt numFmtId="177" formatCode="#,##0.00\ ;[Red]\(#,##0.00\)"/>
    <numFmt numFmtId="178" formatCode="#,##0.00;\(#,##0.000\)"/>
    <numFmt numFmtId="179" formatCode="&quot;£&quot;#,##0"/>
    <numFmt numFmtId="180" formatCode="#,##0.00;\(#,##0.0\)"/>
    <numFmt numFmtId="181" formatCode="#,##0.0;\(#,##0.0\)"/>
    <numFmt numFmtId="182" formatCode="#,##0_);\(#,##0\)"/>
    <numFmt numFmtId="183" formatCode="0_)"/>
    <numFmt numFmtId="184" formatCode="#,##0.00_-;#,##0.00\-;&quot;&quot;"/>
    <numFmt numFmtId="185" formatCode="#,##0.0_-;#,##0.0\-;&quot;&quot;"/>
    <numFmt numFmtId="186" formatCode="#,##0.000_-;#,##0.000\-;&quot;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* #,##0.0_-;\-* #,##0.0_-;_-* &quot;-&quot;??_-;_-@_-"/>
    <numFmt numFmtId="191" formatCode="_-* #,##0.000_-;\-* #,##0.000_-;_-* &quot;-&quot;??_-;_-@_-"/>
    <numFmt numFmtId="192" formatCode="#,##0.0"/>
    <numFmt numFmtId="193" formatCode="#,##0.00_ ;\-#,##0.00\ "/>
    <numFmt numFmtId="194" formatCode="0.0000000"/>
    <numFmt numFmtId="195" formatCode="0.00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7"/>
      <name val="Arial"/>
      <family val="0"/>
    </font>
    <font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5" fontId="0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/>
    </xf>
    <xf numFmtId="165" fontId="5" fillId="2" borderId="3" xfId="0" applyNumberFormat="1" applyFont="1" applyFill="1" applyBorder="1" applyAlignment="1">
      <alignment/>
    </xf>
    <xf numFmtId="165" fontId="8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8" fillId="2" borderId="0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0" fillId="2" borderId="5" xfId="0" applyNumberFormat="1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/>
    </xf>
    <xf numFmtId="165" fontId="1" fillId="0" borderId="6" xfId="0" applyNumberFormat="1" applyFont="1" applyBorder="1" applyAlignment="1">
      <alignment/>
    </xf>
    <xf numFmtId="165" fontId="0" fillId="2" borderId="7" xfId="0" applyNumberFormat="1" applyFont="1" applyFill="1" applyBorder="1" applyAlignment="1">
      <alignment/>
    </xf>
    <xf numFmtId="17" fontId="1" fillId="2" borderId="8" xfId="0" applyNumberFormat="1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17" fontId="0" fillId="2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65" fontId="1" fillId="2" borderId="11" xfId="0" applyNumberFormat="1" applyFont="1" applyFill="1" applyBorder="1" applyAlignment="1">
      <alignment/>
    </xf>
    <xf numFmtId="165" fontId="1" fillId="2" borderId="10" xfId="0" applyNumberFormat="1" applyFont="1" applyFill="1" applyBorder="1" applyAlignment="1">
      <alignment horizontal="left"/>
    </xf>
    <xf numFmtId="165" fontId="1" fillId="2" borderId="12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165" fontId="0" fillId="0" borderId="0" xfId="0" applyNumberFormat="1" applyFont="1" applyBorder="1" applyAlignment="1">
      <alignment/>
    </xf>
    <xf numFmtId="165" fontId="0" fillId="2" borderId="13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2" borderId="14" xfId="0" applyNumberFormat="1" applyFont="1" applyFill="1" applyBorder="1" applyAlignment="1">
      <alignment/>
    </xf>
    <xf numFmtId="165" fontId="0" fillId="2" borderId="12" xfId="0" applyNumberFormat="1" applyFont="1" applyFill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1" fillId="2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/>
    </xf>
    <xf numFmtId="165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 wrapText="1"/>
    </xf>
    <xf numFmtId="165" fontId="1" fillId="0" borderId="4" xfId="0" applyNumberFormat="1" applyFont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2" borderId="17" xfId="0" applyNumberFormat="1" applyFont="1" applyFill="1" applyBorder="1" applyAlignment="1">
      <alignment/>
    </xf>
    <xf numFmtId="17" fontId="0" fillId="2" borderId="18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165" fontId="0" fillId="2" borderId="19" xfId="0" applyNumberFormat="1" applyFont="1" applyFill="1" applyBorder="1" applyAlignment="1">
      <alignment/>
    </xf>
    <xf numFmtId="165" fontId="12" fillId="2" borderId="1" xfId="0" applyNumberFormat="1" applyFont="1" applyFill="1" applyBorder="1" applyAlignment="1">
      <alignment horizontal="center" wrapText="1"/>
    </xf>
    <xf numFmtId="165" fontId="0" fillId="0" borderId="20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Continuous"/>
    </xf>
    <xf numFmtId="0" fontId="13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1" fillId="2" borderId="21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1" fillId="2" borderId="21" xfId="0" applyNumberFormat="1" applyFont="1" applyFill="1" applyBorder="1" applyAlignment="1">
      <alignment horizontal="right"/>
    </xf>
    <xf numFmtId="1" fontId="1" fillId="2" borderId="2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center"/>
    </xf>
    <xf numFmtId="1" fontId="1" fillId="2" borderId="22" xfId="0" applyNumberFormat="1" applyFont="1" applyFill="1" applyBorder="1" applyAlignment="1">
      <alignment horizontal="right"/>
    </xf>
    <xf numFmtId="1" fontId="1" fillId="2" borderId="22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wrapText="1"/>
    </xf>
    <xf numFmtId="1" fontId="0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1" fillId="2" borderId="23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9" fillId="2" borderId="9" xfId="0" applyNumberFormat="1" applyFont="1" applyFill="1" applyBorder="1" applyAlignment="1">
      <alignment/>
    </xf>
    <xf numFmtId="165" fontId="0" fillId="0" borderId="9" xfId="0" applyNumberFormat="1" applyFont="1" applyBorder="1" applyAlignment="1">
      <alignment/>
    </xf>
    <xf numFmtId="165" fontId="8" fillId="2" borderId="9" xfId="0" applyNumberFormat="1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5" fontId="0" fillId="2" borderId="16" xfId="0" applyNumberFormat="1" applyFont="1" applyFill="1" applyBorder="1" applyAlignment="1">
      <alignment/>
    </xf>
    <xf numFmtId="165" fontId="8" fillId="2" borderId="16" xfId="0" applyNumberFormat="1" applyFont="1" applyFill="1" applyBorder="1" applyAlignment="1">
      <alignment/>
    </xf>
    <xf numFmtId="165" fontId="9" fillId="2" borderId="16" xfId="0" applyNumberFormat="1" applyFont="1" applyFill="1" applyBorder="1" applyAlignment="1">
      <alignment/>
    </xf>
    <xf numFmtId="165" fontId="1" fillId="2" borderId="19" xfId="0" applyNumberFormat="1" applyFont="1" applyFill="1" applyBorder="1" applyAlignment="1">
      <alignment/>
    </xf>
    <xf numFmtId="165" fontId="8" fillId="2" borderId="19" xfId="0" applyNumberFormat="1" applyFont="1" applyFill="1" applyBorder="1" applyAlignment="1">
      <alignment/>
    </xf>
    <xf numFmtId="165" fontId="8" fillId="2" borderId="11" xfId="0" applyNumberFormat="1" applyFont="1" applyFill="1" applyBorder="1" applyAlignment="1">
      <alignment/>
    </xf>
    <xf numFmtId="165" fontId="0" fillId="2" borderId="11" xfId="0" applyNumberFormat="1" applyFont="1" applyFill="1" applyBorder="1" applyAlignment="1">
      <alignment/>
    </xf>
    <xf numFmtId="165" fontId="0" fillId="2" borderId="17" xfId="0" applyNumberFormat="1" applyFont="1" applyFill="1" applyBorder="1" applyAlignment="1">
      <alignment/>
    </xf>
    <xf numFmtId="165" fontId="1" fillId="0" borderId="12" xfId="0" applyNumberFormat="1" applyFont="1" applyBorder="1" applyAlignment="1">
      <alignment/>
    </xf>
    <xf numFmtId="165" fontId="2" fillId="2" borderId="3" xfId="0" applyNumberFormat="1" applyFont="1" applyFill="1" applyBorder="1" applyAlignment="1">
      <alignment/>
    </xf>
    <xf numFmtId="165" fontId="14" fillId="2" borderId="3" xfId="0" applyNumberFormat="1" applyFont="1" applyFill="1" applyBorder="1" applyAlignment="1">
      <alignment/>
    </xf>
    <xf numFmtId="165" fontId="1" fillId="2" borderId="18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165" fontId="0" fillId="2" borderId="0" xfId="0" applyNumberFormat="1" applyFont="1" applyFill="1" applyAlignment="1">
      <alignment horizontal="right"/>
    </xf>
    <xf numFmtId="165" fontId="1" fillId="2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165" fontId="0" fillId="0" borderId="26" xfId="0" applyNumberFormat="1" applyFont="1" applyBorder="1" applyAlignment="1">
      <alignment horizontal="right" vertical="top" wrapText="1"/>
    </xf>
    <xf numFmtId="17" fontId="0" fillId="0" borderId="26" xfId="0" applyNumberFormat="1" applyFont="1" applyBorder="1" applyAlignment="1">
      <alignment horizontal="left" vertical="top" wrapText="1"/>
    </xf>
    <xf numFmtId="165" fontId="1" fillId="2" borderId="7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1" fillId="2" borderId="0" xfId="0" applyNumberFormat="1" applyFont="1" applyFill="1" applyBorder="1" applyAlignment="1">
      <alignment horizontal="left"/>
    </xf>
    <xf numFmtId="165" fontId="0" fillId="0" borderId="7" xfId="0" applyNumberFormat="1" applyFont="1" applyBorder="1" applyAlignment="1">
      <alignment/>
    </xf>
    <xf numFmtId="165" fontId="1" fillId="2" borderId="7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165" fontId="1" fillId="2" borderId="29" xfId="0" applyNumberFormat="1" applyFont="1" applyFill="1" applyBorder="1" applyAlignment="1">
      <alignment/>
    </xf>
    <xf numFmtId="165" fontId="1" fillId="2" borderId="24" xfId="0" applyNumberFormat="1" applyFont="1" applyFill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0" fillId="2" borderId="32" xfId="0" applyNumberFormat="1" applyFont="1" applyFill="1" applyBorder="1" applyAlignment="1">
      <alignment/>
    </xf>
    <xf numFmtId="165" fontId="0" fillId="0" borderId="3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1" fillId="2" borderId="34" xfId="0" applyNumberFormat="1" applyFont="1" applyFill="1" applyBorder="1" applyAlignment="1">
      <alignment/>
    </xf>
    <xf numFmtId="165" fontId="1" fillId="2" borderId="14" xfId="0" applyNumberFormat="1" applyFont="1" applyFill="1" applyBorder="1" applyAlignment="1">
      <alignment/>
    </xf>
    <xf numFmtId="165" fontId="1" fillId="2" borderId="35" xfId="0" applyNumberFormat="1" applyFont="1" applyFill="1" applyBorder="1" applyAlignment="1">
      <alignment/>
    </xf>
    <xf numFmtId="165" fontId="1" fillId="2" borderId="36" xfId="0" applyNumberFormat="1" applyFont="1" applyFill="1" applyBorder="1" applyAlignment="1">
      <alignment/>
    </xf>
    <xf numFmtId="165" fontId="1" fillId="2" borderId="32" xfId="0" applyNumberFormat="1" applyFont="1" applyFill="1" applyBorder="1" applyAlignment="1">
      <alignment/>
    </xf>
    <xf numFmtId="0" fontId="0" fillId="0" borderId="9" xfId="0" applyBorder="1" applyAlignment="1">
      <alignment/>
    </xf>
    <xf numFmtId="17" fontId="1" fillId="2" borderId="24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76" fontId="0" fillId="2" borderId="0" xfId="0" applyNumberFormat="1" applyFont="1" applyFill="1" applyBorder="1" applyAlignment="1">
      <alignment/>
    </xf>
    <xf numFmtId="1" fontId="1" fillId="2" borderId="0" xfId="0" applyNumberFormat="1" applyFont="1" applyFill="1" applyAlignment="1">
      <alignment/>
    </xf>
    <xf numFmtId="165" fontId="0" fillId="0" borderId="3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7" fontId="0" fillId="0" borderId="9" xfId="0" applyNumberFormat="1" applyFont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7" xfId="0" applyNumberFormat="1" applyFont="1" applyBorder="1" applyAlignment="1">
      <alignment/>
    </xf>
    <xf numFmtId="191" fontId="0" fillId="0" borderId="14" xfId="15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2" xfId="0" applyNumberFormat="1" applyFont="1" applyBorder="1" applyAlignment="1">
      <alignment/>
    </xf>
    <xf numFmtId="17" fontId="0" fillId="2" borderId="0" xfId="0" applyNumberFormat="1" applyFont="1" applyFill="1" applyBorder="1" applyAlignment="1">
      <alignment horizontal="center"/>
    </xf>
    <xf numFmtId="17" fontId="0" fillId="2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" fontId="1" fillId="2" borderId="7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 horizontal="center"/>
    </xf>
    <xf numFmtId="17" fontId="1" fillId="2" borderId="18" xfId="0" applyNumberFormat="1" applyFont="1" applyFill="1" applyBorder="1" applyAlignment="1">
      <alignment horizontal="center"/>
    </xf>
    <xf numFmtId="17" fontId="1" fillId="2" borderId="19" xfId="0" applyNumberFormat="1" applyFont="1" applyFill="1" applyBorder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7" fontId="1" fillId="2" borderId="11" xfId="0" applyNumberFormat="1" applyFont="1" applyFill="1" applyBorder="1" applyAlignment="1">
      <alignment horizontal="center"/>
    </xf>
    <xf numFmtId="17" fontId="8" fillId="2" borderId="9" xfId="0" applyNumberFormat="1" applyFont="1" applyFill="1" applyBorder="1" applyAlignment="1">
      <alignment horizontal="center"/>
    </xf>
    <xf numFmtId="17" fontId="8" fillId="2" borderId="16" xfId="0" applyNumberFormat="1" applyFont="1" applyFill="1" applyBorder="1" applyAlignment="1">
      <alignment horizontal="center"/>
    </xf>
    <xf numFmtId="17" fontId="1" fillId="2" borderId="9" xfId="0" applyNumberFormat="1" applyFont="1" applyFill="1" applyBorder="1" applyAlignment="1">
      <alignment horizontal="center"/>
    </xf>
    <xf numFmtId="17" fontId="1" fillId="2" borderId="16" xfId="0" applyNumberFormat="1" applyFont="1" applyFill="1" applyBorder="1" applyAlignment="1">
      <alignment horizontal="center"/>
    </xf>
    <xf numFmtId="17" fontId="8" fillId="2" borderId="0" xfId="0" applyNumberFormat="1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67" fontId="0" fillId="0" borderId="16" xfId="0" applyNumberFormat="1" applyFont="1" applyBorder="1" applyAlignment="1">
      <alignment/>
    </xf>
    <xf numFmtId="0" fontId="0" fillId="0" borderId="3" xfId="0" applyBorder="1" applyAlignment="1">
      <alignment/>
    </xf>
    <xf numFmtId="165" fontId="8" fillId="0" borderId="0" xfId="0" applyNumberFormat="1" applyFont="1" applyAlignment="1">
      <alignment/>
    </xf>
    <xf numFmtId="165" fontId="0" fillId="0" borderId="3" xfId="0" applyNumberFormat="1" applyBorder="1" applyAlignment="1">
      <alignment/>
    </xf>
    <xf numFmtId="0" fontId="8" fillId="0" borderId="16" xfId="0" applyFont="1" applyFill="1" applyBorder="1" applyAlignment="1">
      <alignment/>
    </xf>
    <xf numFmtId="49" fontId="8" fillId="0" borderId="16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65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165" fontId="15" fillId="2" borderId="3" xfId="0" applyNumberFormat="1" applyFont="1" applyFill="1" applyBorder="1" applyAlignment="1">
      <alignment/>
    </xf>
    <xf numFmtId="165" fontId="19" fillId="2" borderId="3" xfId="0" applyNumberFormat="1" applyFont="1" applyFill="1" applyBorder="1" applyAlignment="1">
      <alignment/>
    </xf>
    <xf numFmtId="0" fontId="20" fillId="0" borderId="3" xfId="0" applyFont="1" applyBorder="1" applyAlignment="1">
      <alignment/>
    </xf>
    <xf numFmtId="0" fontId="20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49" fontId="15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37" xfId="0" applyFill="1" applyBorder="1" applyAlignment="1">
      <alignment horizontal="left"/>
    </xf>
    <xf numFmtId="165" fontId="1" fillId="2" borderId="9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67" fontId="0" fillId="0" borderId="9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165" fontId="1" fillId="2" borderId="23" xfId="0" applyNumberFormat="1" applyFont="1" applyFill="1" applyBorder="1" applyAlignment="1">
      <alignment horizontal="right"/>
    </xf>
    <xf numFmtId="165" fontId="14" fillId="2" borderId="6" xfId="0" applyNumberFormat="1" applyFont="1" applyFill="1" applyBorder="1" applyAlignment="1">
      <alignment/>
    </xf>
    <xf numFmtId="165" fontId="14" fillId="2" borderId="9" xfId="0" applyNumberFormat="1" applyFont="1" applyFill="1" applyBorder="1" applyAlignment="1">
      <alignment/>
    </xf>
    <xf numFmtId="165" fontId="14" fillId="2" borderId="0" xfId="0" applyNumberFormat="1" applyFont="1" applyFill="1" applyBorder="1" applyAlignment="1">
      <alignment/>
    </xf>
    <xf numFmtId="165" fontId="21" fillId="0" borderId="0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0" fontId="0" fillId="0" borderId="6" xfId="0" applyFont="1" applyBorder="1" applyAlignment="1">
      <alignment/>
    </xf>
    <xf numFmtId="165" fontId="0" fillId="0" borderId="6" xfId="0" applyNumberFormat="1" applyBorder="1" applyAlignment="1">
      <alignment/>
    </xf>
    <xf numFmtId="167" fontId="0" fillId="0" borderId="3" xfId="0" applyNumberFormat="1" applyFont="1" applyBorder="1" applyAlignment="1">
      <alignment horizontal="right"/>
    </xf>
    <xf numFmtId="165" fontId="0" fillId="2" borderId="3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5" fontId="0" fillId="2" borderId="9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5" fontId="0" fillId="2" borderId="6" xfId="0" applyNumberFormat="1" applyFont="1" applyFill="1" applyBorder="1" applyAlignment="1">
      <alignment horizontal="right"/>
    </xf>
    <xf numFmtId="165" fontId="1" fillId="2" borderId="19" xfId="0" applyNumberFormat="1" applyFont="1" applyFill="1" applyBorder="1" applyAlignment="1">
      <alignment horizontal="center"/>
    </xf>
    <xf numFmtId="165" fontId="9" fillId="2" borderId="19" xfId="0" applyNumberFormat="1" applyFont="1" applyFill="1" applyBorder="1" applyAlignment="1">
      <alignment/>
    </xf>
    <xf numFmtId="165" fontId="9" fillId="2" borderId="11" xfId="0" applyNumberFormat="1" applyFont="1" applyFill="1" applyBorder="1" applyAlignment="1">
      <alignment/>
    </xf>
    <xf numFmtId="165" fontId="9" fillId="2" borderId="3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/>
    </xf>
    <xf numFmtId="165" fontId="1" fillId="2" borderId="14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/>
    </xf>
    <xf numFmtId="165" fontId="1" fillId="2" borderId="38" xfId="0" applyNumberFormat="1" applyFont="1" applyFill="1" applyBorder="1" applyAlignment="1">
      <alignment/>
    </xf>
    <xf numFmtId="165" fontId="1" fillId="2" borderId="39" xfId="0" applyNumberFormat="1" applyFont="1" applyFill="1" applyBorder="1" applyAlignment="1">
      <alignment/>
    </xf>
    <xf numFmtId="165" fontId="18" fillId="0" borderId="0" xfId="0" applyNumberFormat="1" applyFont="1" applyBorder="1" applyAlignment="1">
      <alignment/>
    </xf>
    <xf numFmtId="6" fontId="0" fillId="0" borderId="0" xfId="0" applyNumberFormat="1" applyFont="1" applyAlignment="1">
      <alignment/>
    </xf>
    <xf numFmtId="49" fontId="0" fillId="3" borderId="0" xfId="0" applyNumberFormat="1" applyFill="1" applyBorder="1" applyAlignment="1">
      <alignment/>
    </xf>
    <xf numFmtId="193" fontId="1" fillId="2" borderId="0" xfId="17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5" fontId="0" fillId="3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15" fillId="0" borderId="0" xfId="0" applyNumberFormat="1" applyFont="1" applyBorder="1" applyAlignment="1">
      <alignment horizontal="left"/>
    </xf>
    <xf numFmtId="1" fontId="1" fillId="0" borderId="0" xfId="0" applyNumberFormat="1" applyFont="1" applyAlignment="1">
      <alignment/>
    </xf>
    <xf numFmtId="1" fontId="0" fillId="2" borderId="40" xfId="0" applyNumberFormat="1" applyFont="1" applyFill="1" applyBorder="1" applyAlignment="1">
      <alignment horizontal="right"/>
    </xf>
    <xf numFmtId="17" fontId="8" fillId="2" borderId="8" xfId="0" applyNumberFormat="1" applyFont="1" applyFill="1" applyBorder="1" applyAlignment="1">
      <alignment horizontal="center"/>
    </xf>
    <xf numFmtId="17" fontId="8" fillId="2" borderId="29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165" fontId="8" fillId="4" borderId="0" xfId="0" applyNumberFormat="1" applyFont="1" applyFill="1" applyBorder="1" applyAlignment="1">
      <alignment/>
    </xf>
    <xf numFmtId="165" fontId="0" fillId="0" borderId="0" xfId="0" applyNumberFormat="1" applyFont="1" applyBorder="1" applyAlignment="1" quotePrefix="1">
      <alignment/>
    </xf>
    <xf numFmtId="17" fontId="1" fillId="2" borderId="24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ancy\Corporate%20%20&amp;%20Outstationed\Corporate\Chris%20Mee\Cap%20Monitoring\2002-03\Capital%20Monitoring\2001%20files\2000%20files\Capital%20Report%20Feb%2001%20append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0%20files\Capital%20Report%20Feb%2001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V1135"/>
  <sheetViews>
    <sheetView showGridLines="0" zoomScale="80" zoomScaleNormal="80" zoomScaleSheetLayoutView="50" workbookViewId="0" topLeftCell="A1">
      <pane xSplit="7" ySplit="4" topLeftCell="T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1" sqref="G1"/>
    </sheetView>
  </sheetViews>
  <sheetFormatPr defaultColWidth="6.7109375" defaultRowHeight="12.75"/>
  <cols>
    <col min="1" max="1" width="2.8515625" style="33" hidden="1" customWidth="1"/>
    <col min="2" max="2" width="11.57421875" style="33" hidden="1" customWidth="1"/>
    <col min="3" max="3" width="50.140625" style="6" customWidth="1"/>
    <col min="4" max="4" width="9.7109375" style="6" customWidth="1"/>
    <col min="5" max="5" width="8.8515625" style="169" bestFit="1" customWidth="1"/>
    <col min="6" max="6" width="7.7109375" style="169" bestFit="1" customWidth="1"/>
    <col min="7" max="7" width="10.140625" style="6" customWidth="1"/>
    <col min="8" max="8" width="7.28125" style="15" hidden="1" customWidth="1"/>
    <col min="9" max="18" width="7.28125" style="6" hidden="1" customWidth="1"/>
    <col min="19" max="19" width="8.57421875" style="6" hidden="1" customWidth="1"/>
    <col min="20" max="20" width="11.28125" style="11" customWidth="1"/>
    <col min="21" max="21" width="2.140625" style="11" customWidth="1"/>
    <col min="22" max="22" width="11.7109375" style="6" customWidth="1"/>
    <col min="23" max="23" width="13.421875" style="6" bestFit="1" customWidth="1"/>
    <col min="24" max="24" width="13.00390625" style="6" customWidth="1"/>
    <col min="25" max="25" width="6.7109375" style="6" bestFit="1" customWidth="1"/>
    <col min="26" max="26" width="10.28125" style="6" bestFit="1" customWidth="1"/>
    <col min="27" max="27" width="7.8515625" style="6" bestFit="1" customWidth="1"/>
    <col min="28" max="28" width="7.421875" style="33" bestFit="1" customWidth="1"/>
    <col min="29" max="29" width="11.7109375" style="33" customWidth="1"/>
    <col min="30" max="30" width="11.57421875" style="33" hidden="1" customWidth="1"/>
    <col min="31" max="32" width="10.7109375" style="33" hidden="1" customWidth="1"/>
    <col min="33" max="33" width="10.57421875" style="33" hidden="1" customWidth="1"/>
    <col min="34" max="47" width="10.7109375" style="33" hidden="1" customWidth="1"/>
    <col min="48" max="48" width="51.140625" style="33" hidden="1" customWidth="1"/>
    <col min="49" max="49" width="10.7109375" style="33" hidden="1" customWidth="1"/>
    <col min="50" max="69" width="10.7109375" style="33" customWidth="1"/>
    <col min="70" max="16384" width="1.8515625" style="33" customWidth="1"/>
  </cols>
  <sheetData>
    <row r="1" spans="3:22" ht="13.5" customHeight="1" thickBot="1">
      <c r="C1" s="11" t="s">
        <v>1416</v>
      </c>
      <c r="H1" s="6"/>
      <c r="V1" s="11" t="s">
        <v>1576</v>
      </c>
    </row>
    <row r="2" spans="2:29" ht="38.25">
      <c r="B2" s="33" t="s">
        <v>1580</v>
      </c>
      <c r="C2" s="3"/>
      <c r="D2" s="43" t="s">
        <v>1575</v>
      </c>
      <c r="E2" s="265" t="s">
        <v>1358</v>
      </c>
      <c r="F2" s="266"/>
      <c r="G2" s="43" t="s">
        <v>1003</v>
      </c>
      <c r="H2" s="267" t="s">
        <v>1577</v>
      </c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8"/>
      <c r="T2" s="32" t="s">
        <v>1577</v>
      </c>
      <c r="U2" s="17"/>
      <c r="V2" s="55" t="s">
        <v>1081</v>
      </c>
      <c r="W2" s="43" t="s">
        <v>1578</v>
      </c>
      <c r="X2" s="108" t="s">
        <v>73</v>
      </c>
      <c r="Y2" s="14"/>
      <c r="Z2" s="43" t="s">
        <v>1398</v>
      </c>
      <c r="AA2" s="14"/>
      <c r="AB2" s="44"/>
      <c r="AC2" s="44"/>
    </row>
    <row r="3" spans="2:48" ht="15" customHeight="1" thickBot="1">
      <c r="B3" s="33" t="s">
        <v>1581</v>
      </c>
      <c r="C3" s="31"/>
      <c r="D3" s="45"/>
      <c r="E3" s="22" t="s">
        <v>1359</v>
      </c>
      <c r="F3" s="23" t="s">
        <v>1360</v>
      </c>
      <c r="G3" s="46" t="s">
        <v>723</v>
      </c>
      <c r="H3" s="4" t="s">
        <v>369</v>
      </c>
      <c r="I3" s="4" t="s">
        <v>370</v>
      </c>
      <c r="J3" s="4" t="s">
        <v>371</v>
      </c>
      <c r="K3" s="4" t="s">
        <v>372</v>
      </c>
      <c r="L3" s="4" t="s">
        <v>373</v>
      </c>
      <c r="M3" s="4" t="s">
        <v>374</v>
      </c>
      <c r="N3" s="4" t="s">
        <v>375</v>
      </c>
      <c r="O3" s="4" t="s">
        <v>376</v>
      </c>
      <c r="P3" s="4" t="s">
        <v>377</v>
      </c>
      <c r="Q3" s="4" t="s">
        <v>378</v>
      </c>
      <c r="R3" s="4" t="s">
        <v>379</v>
      </c>
      <c r="S3" s="4" t="s">
        <v>380</v>
      </c>
      <c r="T3" s="7" t="s">
        <v>723</v>
      </c>
      <c r="U3" s="18"/>
      <c r="V3" s="45" t="s">
        <v>1080</v>
      </c>
      <c r="W3" s="45" t="s">
        <v>1080</v>
      </c>
      <c r="X3" s="46"/>
      <c r="Y3" s="45" t="s">
        <v>1397</v>
      </c>
      <c r="Z3" s="46"/>
      <c r="AA3" s="45" t="s">
        <v>1399</v>
      </c>
      <c r="AB3" s="47" t="s">
        <v>1400</v>
      </c>
      <c r="AC3" s="47" t="s">
        <v>1377</v>
      </c>
      <c r="AD3" s="42"/>
      <c r="AE3" s="41" t="s">
        <v>1401</v>
      </c>
      <c r="AF3" s="41" t="s">
        <v>1444</v>
      </c>
      <c r="AG3" s="41" t="s">
        <v>1409</v>
      </c>
      <c r="AH3" s="41" t="s">
        <v>1414</v>
      </c>
      <c r="AI3" s="41" t="s">
        <v>1412</v>
      </c>
      <c r="AJ3" s="41" t="s">
        <v>1410</v>
      </c>
      <c r="AK3" s="41" t="s">
        <v>1411</v>
      </c>
      <c r="AL3" s="41" t="s">
        <v>1402</v>
      </c>
      <c r="AM3" s="41" t="s">
        <v>1403</v>
      </c>
      <c r="AN3" s="41" t="s">
        <v>1346</v>
      </c>
      <c r="AO3" s="41" t="s">
        <v>1404</v>
      </c>
      <c r="AP3" s="41" t="s">
        <v>1405</v>
      </c>
      <c r="AQ3" s="41" t="s">
        <v>1395</v>
      </c>
      <c r="AR3" s="41" t="s">
        <v>1406</v>
      </c>
      <c r="AS3" s="41" t="s">
        <v>1413</v>
      </c>
      <c r="AT3" s="41" t="s">
        <v>1407</v>
      </c>
      <c r="AU3" s="41" t="s">
        <v>1377</v>
      </c>
      <c r="AV3" s="33" t="s">
        <v>1408</v>
      </c>
    </row>
    <row r="4" spans="3:47" ht="12.75">
      <c r="C4" s="3"/>
      <c r="D4" s="118" t="s">
        <v>1348</v>
      </c>
      <c r="E4" s="24"/>
      <c r="F4" s="51"/>
      <c r="G4" s="244" t="s">
        <v>1348</v>
      </c>
      <c r="H4" s="93" t="s">
        <v>1348</v>
      </c>
      <c r="I4" s="86" t="s">
        <v>1348</v>
      </c>
      <c r="J4" s="86" t="s">
        <v>1348</v>
      </c>
      <c r="K4" s="86" t="s">
        <v>1348</v>
      </c>
      <c r="L4" s="86" t="s">
        <v>1348</v>
      </c>
      <c r="M4" s="86" t="s">
        <v>1348</v>
      </c>
      <c r="N4" s="86" t="s">
        <v>1348</v>
      </c>
      <c r="O4" s="86" t="s">
        <v>1348</v>
      </c>
      <c r="P4" s="86" t="s">
        <v>1348</v>
      </c>
      <c r="Q4" s="86" t="s">
        <v>1348</v>
      </c>
      <c r="R4" s="86" t="s">
        <v>1348</v>
      </c>
      <c r="S4" s="92" t="s">
        <v>1348</v>
      </c>
      <c r="T4" s="92" t="s">
        <v>1348</v>
      </c>
      <c r="U4" s="18"/>
      <c r="V4" s="246" t="s">
        <v>1348</v>
      </c>
      <c r="W4" s="48" t="s">
        <v>1348</v>
      </c>
      <c r="X4" s="48"/>
      <c r="Y4" s="48" t="s">
        <v>1348</v>
      </c>
      <c r="Z4" s="48" t="s">
        <v>1348</v>
      </c>
      <c r="AA4" s="48" t="s">
        <v>1348</v>
      </c>
      <c r="AB4" s="49" t="s">
        <v>1348</v>
      </c>
      <c r="AC4" s="48" t="s">
        <v>1348</v>
      </c>
      <c r="AE4" s="33" t="s">
        <v>1348</v>
      </c>
      <c r="AG4" s="33" t="s">
        <v>1348</v>
      </c>
      <c r="AH4" s="33" t="s">
        <v>1348</v>
      </c>
      <c r="AI4" s="33" t="s">
        <v>1348</v>
      </c>
      <c r="AJ4" s="33" t="s">
        <v>1348</v>
      </c>
      <c r="AK4" s="33" t="s">
        <v>1348</v>
      </c>
      <c r="AL4" s="33" t="s">
        <v>1348</v>
      </c>
      <c r="AM4" s="33" t="s">
        <v>1348</v>
      </c>
      <c r="AN4" s="33" t="s">
        <v>1348</v>
      </c>
      <c r="AO4" s="33" t="s">
        <v>1348</v>
      </c>
      <c r="AP4" s="33" t="s">
        <v>1348</v>
      </c>
      <c r="AQ4" s="33" t="s">
        <v>1348</v>
      </c>
      <c r="AR4" s="33" t="s">
        <v>1348</v>
      </c>
      <c r="AS4" s="33" t="s">
        <v>1348</v>
      </c>
      <c r="AT4" s="33" t="s">
        <v>1348</v>
      </c>
      <c r="AU4" s="34" t="s">
        <v>1348</v>
      </c>
    </row>
    <row r="5" spans="3:47" ht="12.75">
      <c r="C5" s="8"/>
      <c r="D5" s="5"/>
      <c r="E5" s="24"/>
      <c r="F5" s="170"/>
      <c r="G5" s="5"/>
      <c r="H5" s="52"/>
      <c r="S5" s="94"/>
      <c r="T5" s="87"/>
      <c r="V5" s="36"/>
      <c r="W5" s="36"/>
      <c r="X5" s="36"/>
      <c r="Y5" s="36"/>
      <c r="Z5" s="36"/>
      <c r="AA5" s="36"/>
      <c r="AB5" s="37"/>
      <c r="AC5" s="37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7"/>
    </row>
    <row r="6" spans="3:47" ht="18">
      <c r="C6" s="203" t="s">
        <v>1718</v>
      </c>
      <c r="D6" s="5"/>
      <c r="E6" s="24"/>
      <c r="F6" s="170"/>
      <c r="G6" s="5"/>
      <c r="H6" s="52"/>
      <c r="S6" s="94"/>
      <c r="T6" s="87"/>
      <c r="V6" s="36"/>
      <c r="W6" s="36"/>
      <c r="X6" s="36"/>
      <c r="Y6" s="36"/>
      <c r="Z6" s="36"/>
      <c r="AA6" s="36"/>
      <c r="AB6" s="37"/>
      <c r="AC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</row>
    <row r="7" spans="2:47" ht="15.75">
      <c r="B7" s="27"/>
      <c r="C7" s="204" t="s">
        <v>813</v>
      </c>
      <c r="D7" s="154"/>
      <c r="E7" s="171"/>
      <c r="F7" s="171"/>
      <c r="G7" s="155"/>
      <c r="H7" s="52"/>
      <c r="S7" s="94"/>
      <c r="T7" s="94"/>
      <c r="V7" s="36"/>
      <c r="W7" s="36"/>
      <c r="X7" s="36"/>
      <c r="Y7" s="36"/>
      <c r="Z7" s="36"/>
      <c r="AA7" s="36"/>
      <c r="AB7" s="37"/>
      <c r="AC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</row>
    <row r="8" spans="2:47" ht="12.75">
      <c r="B8" s="252" t="s">
        <v>1460</v>
      </c>
      <c r="C8" s="190" t="s">
        <v>814</v>
      </c>
      <c r="D8" s="232">
        <f>SUM(D9:D18)</f>
        <v>2.149</v>
      </c>
      <c r="E8" s="171"/>
      <c r="F8" s="171"/>
      <c r="G8" s="232">
        <f>SUM(G9:G18)</f>
        <v>0.956</v>
      </c>
      <c r="H8" s="234">
        <f>SUM(H9:H18)</f>
        <v>0.664</v>
      </c>
      <c r="I8" s="235">
        <f aca="true" t="shared" si="0" ref="I8:AU8">SUM(I9:I18)</f>
        <v>0</v>
      </c>
      <c r="J8" s="235">
        <f t="shared" si="0"/>
        <v>0</v>
      </c>
      <c r="K8" s="235">
        <f t="shared" si="0"/>
        <v>0</v>
      </c>
      <c r="L8" s="235">
        <f t="shared" si="0"/>
        <v>0</v>
      </c>
      <c r="M8" s="235">
        <f t="shared" si="0"/>
        <v>0.35300000000000004</v>
      </c>
      <c r="N8" s="235">
        <f t="shared" si="0"/>
        <v>0.35300000000000004</v>
      </c>
      <c r="O8" s="235">
        <f t="shared" si="0"/>
        <v>0.35300000000000004</v>
      </c>
      <c r="P8" s="235">
        <f t="shared" si="0"/>
        <v>0.35300000000000004</v>
      </c>
      <c r="Q8" s="235">
        <f t="shared" si="0"/>
        <v>0.35300000000000004</v>
      </c>
      <c r="R8" s="235">
        <f t="shared" si="0"/>
        <v>0.35300000000000004</v>
      </c>
      <c r="S8" s="235">
        <f t="shared" si="0"/>
        <v>0.35300000000000004</v>
      </c>
      <c r="T8" s="232">
        <f>SUM(T9:T18)</f>
        <v>1.37</v>
      </c>
      <c r="U8" s="234"/>
      <c r="V8" s="238">
        <f t="shared" si="0"/>
        <v>0</v>
      </c>
      <c r="W8" s="238">
        <f t="shared" si="0"/>
        <v>0</v>
      </c>
      <c r="X8" s="238">
        <f t="shared" si="0"/>
        <v>0</v>
      </c>
      <c r="Y8" s="238">
        <f t="shared" si="0"/>
        <v>0</v>
      </c>
      <c r="Z8" s="238">
        <f t="shared" si="0"/>
        <v>0.195</v>
      </c>
      <c r="AA8" s="238">
        <f t="shared" si="0"/>
        <v>1.954</v>
      </c>
      <c r="AB8" s="238">
        <f t="shared" si="0"/>
        <v>0</v>
      </c>
      <c r="AC8" s="238">
        <f t="shared" si="0"/>
        <v>2.149</v>
      </c>
      <c r="AD8" s="235"/>
      <c r="AE8" s="238">
        <f t="shared" si="0"/>
        <v>0</v>
      </c>
      <c r="AF8" s="238">
        <f t="shared" si="0"/>
        <v>0.87</v>
      </c>
      <c r="AG8" s="238">
        <f t="shared" si="0"/>
        <v>0</v>
      </c>
      <c r="AH8" s="238">
        <f t="shared" si="0"/>
        <v>0</v>
      </c>
      <c r="AI8" s="238">
        <f t="shared" si="0"/>
        <v>0</v>
      </c>
      <c r="AJ8" s="238">
        <f t="shared" si="0"/>
        <v>0</v>
      </c>
      <c r="AK8" s="238">
        <f t="shared" si="0"/>
        <v>0</v>
      </c>
      <c r="AL8" s="238">
        <f t="shared" si="0"/>
        <v>0</v>
      </c>
      <c r="AM8" s="238">
        <f t="shared" si="0"/>
        <v>0.235</v>
      </c>
      <c r="AN8" s="238">
        <f t="shared" si="0"/>
        <v>0</v>
      </c>
      <c r="AO8" s="238">
        <f t="shared" si="0"/>
        <v>0</v>
      </c>
      <c r="AP8" s="238">
        <f t="shared" si="0"/>
        <v>0</v>
      </c>
      <c r="AQ8" s="238">
        <f t="shared" si="0"/>
        <v>0.109</v>
      </c>
      <c r="AR8" s="238">
        <f t="shared" si="0"/>
        <v>0.74</v>
      </c>
      <c r="AS8" s="238">
        <f t="shared" si="0"/>
        <v>0</v>
      </c>
      <c r="AT8" s="238">
        <f t="shared" si="0"/>
        <v>0</v>
      </c>
      <c r="AU8" s="238">
        <f t="shared" si="0"/>
        <v>1.954</v>
      </c>
    </row>
    <row r="9" spans="2:47" ht="12.75" hidden="1">
      <c r="B9" s="27"/>
      <c r="C9" s="190" t="s">
        <v>816</v>
      </c>
      <c r="D9" s="232">
        <v>0.57</v>
      </c>
      <c r="E9" s="171"/>
      <c r="F9" s="171"/>
      <c r="G9" s="155">
        <v>0</v>
      </c>
      <c r="H9" s="91">
        <v>0</v>
      </c>
      <c r="I9" s="13">
        <v>0</v>
      </c>
      <c r="J9" s="13">
        <v>0</v>
      </c>
      <c r="K9" s="13">
        <v>0</v>
      </c>
      <c r="L9" s="13">
        <v>0</v>
      </c>
      <c r="M9" s="13">
        <v>0.128</v>
      </c>
      <c r="N9" s="13">
        <v>0.128</v>
      </c>
      <c r="O9" s="13">
        <v>0.128</v>
      </c>
      <c r="P9" s="13">
        <v>0.128</v>
      </c>
      <c r="Q9" s="13">
        <v>0.128</v>
      </c>
      <c r="R9" s="13">
        <v>0.128</v>
      </c>
      <c r="S9" s="13">
        <v>0.128</v>
      </c>
      <c r="T9" s="5">
        <f>SUM(H9:N9)</f>
        <v>0.256</v>
      </c>
      <c r="V9" s="36"/>
      <c r="W9" s="36"/>
      <c r="X9" s="36"/>
      <c r="Y9" s="36"/>
      <c r="Z9" s="36">
        <v>0.195</v>
      </c>
      <c r="AA9" s="36">
        <f aca="true" t="shared" si="1" ref="AA9:AA55">AU9</f>
        <v>0.375</v>
      </c>
      <c r="AB9" s="37"/>
      <c r="AC9" s="37">
        <f aca="true" t="shared" si="2" ref="AC9:AC54">SUM(V9:AB9)</f>
        <v>0.5700000000000001</v>
      </c>
      <c r="AE9" s="37"/>
      <c r="AF9" s="37"/>
      <c r="AG9" s="37"/>
      <c r="AH9" s="37"/>
      <c r="AI9" s="37"/>
      <c r="AJ9" s="37"/>
      <c r="AK9" s="37"/>
      <c r="AL9" s="37"/>
      <c r="AM9" s="37">
        <v>0.235</v>
      </c>
      <c r="AN9" s="37"/>
      <c r="AO9" s="37"/>
      <c r="AP9" s="37"/>
      <c r="AQ9" s="37"/>
      <c r="AR9" s="37">
        <v>0.14</v>
      </c>
      <c r="AS9" s="37"/>
      <c r="AT9" s="37"/>
      <c r="AU9" s="37">
        <f>SUM(AE9:AT9)</f>
        <v>0.375</v>
      </c>
    </row>
    <row r="10" spans="2:47" ht="12.75" hidden="1">
      <c r="B10" s="27"/>
      <c r="C10" s="190" t="s">
        <v>817</v>
      </c>
      <c r="D10" s="232"/>
      <c r="E10" s="171"/>
      <c r="F10" s="171"/>
      <c r="G10" s="155"/>
      <c r="H10" s="52"/>
      <c r="S10" s="94"/>
      <c r="T10" s="94">
        <f>SUM(H10:S10)</f>
        <v>0</v>
      </c>
      <c r="V10" s="36"/>
      <c r="W10" s="36"/>
      <c r="X10" s="36"/>
      <c r="Y10" s="36"/>
      <c r="Z10" s="36"/>
      <c r="AA10" s="36">
        <f t="shared" si="1"/>
        <v>0</v>
      </c>
      <c r="AB10" s="37"/>
      <c r="AC10" s="37">
        <f t="shared" si="2"/>
        <v>0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>
        <f aca="true" t="shared" si="3" ref="AU10:AU75">SUM(AE10:AT10)</f>
        <v>0</v>
      </c>
    </row>
    <row r="11" spans="2:47" ht="12.75" hidden="1">
      <c r="B11" s="27"/>
      <c r="C11" s="190" t="s">
        <v>818</v>
      </c>
      <c r="D11" s="232">
        <v>1.009</v>
      </c>
      <c r="E11" s="171"/>
      <c r="F11" s="171"/>
      <c r="G11" s="155">
        <v>0.693</v>
      </c>
      <c r="H11" s="91">
        <v>0.493</v>
      </c>
      <c r="I11" s="13">
        <v>0</v>
      </c>
      <c r="J11" s="13">
        <v>0</v>
      </c>
      <c r="K11" s="13">
        <v>0</v>
      </c>
      <c r="L11" s="13">
        <v>0</v>
      </c>
      <c r="M11" s="13">
        <v>0.144</v>
      </c>
      <c r="N11" s="13">
        <v>0.144</v>
      </c>
      <c r="O11" s="13">
        <v>0.144</v>
      </c>
      <c r="P11" s="13">
        <v>0.144</v>
      </c>
      <c r="Q11" s="13">
        <v>0.144</v>
      </c>
      <c r="R11" s="13">
        <v>0.144</v>
      </c>
      <c r="S11" s="13">
        <v>0.144</v>
      </c>
      <c r="T11" s="5">
        <f>SUM(H11:N11)</f>
        <v>0.781</v>
      </c>
      <c r="V11" s="36"/>
      <c r="W11" s="36"/>
      <c r="X11" s="36"/>
      <c r="Y11" s="36"/>
      <c r="Z11" s="36"/>
      <c r="AA11" s="36">
        <f t="shared" si="1"/>
        <v>1.009</v>
      </c>
      <c r="AB11" s="37"/>
      <c r="AC11" s="37">
        <f t="shared" si="2"/>
        <v>1.009</v>
      </c>
      <c r="AE11" s="37"/>
      <c r="AF11" s="37">
        <v>0.87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>
        <v>0.109</v>
      </c>
      <c r="AR11" s="37">
        <v>0.03</v>
      </c>
      <c r="AS11" s="37"/>
      <c r="AT11" s="37"/>
      <c r="AU11" s="37">
        <f t="shared" si="3"/>
        <v>1.009</v>
      </c>
    </row>
    <row r="12" spans="2:47" ht="12.75" hidden="1">
      <c r="B12" s="27" t="s">
        <v>848</v>
      </c>
      <c r="C12" s="190" t="s">
        <v>819</v>
      </c>
      <c r="D12" s="232"/>
      <c r="E12" s="171"/>
      <c r="F12" s="171"/>
      <c r="G12" s="155">
        <v>0</v>
      </c>
      <c r="H12" s="52"/>
      <c r="S12" s="94"/>
      <c r="T12" s="94">
        <f>SUM(H12:S12)</f>
        <v>0</v>
      </c>
      <c r="V12" s="36"/>
      <c r="W12" s="36"/>
      <c r="X12" s="36"/>
      <c r="Y12" s="36"/>
      <c r="Z12" s="36"/>
      <c r="AA12" s="36">
        <f t="shared" si="1"/>
        <v>0</v>
      </c>
      <c r="AB12" s="37"/>
      <c r="AC12" s="37">
        <f t="shared" si="2"/>
        <v>0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>
        <f t="shared" si="3"/>
        <v>0</v>
      </c>
    </row>
    <row r="13" spans="2:47" ht="12.75" hidden="1">
      <c r="B13" s="27"/>
      <c r="C13" s="190" t="s">
        <v>820</v>
      </c>
      <c r="D13" s="232"/>
      <c r="E13" s="171"/>
      <c r="F13" s="171"/>
      <c r="G13" s="155"/>
      <c r="H13" s="52"/>
      <c r="S13" s="94"/>
      <c r="T13" s="94">
        <f>SUM(H13:S13)</f>
        <v>0</v>
      </c>
      <c r="V13" s="36"/>
      <c r="W13" s="36"/>
      <c r="X13" s="36"/>
      <c r="Y13" s="36"/>
      <c r="Z13" s="36"/>
      <c r="AA13" s="36">
        <f t="shared" si="1"/>
        <v>0</v>
      </c>
      <c r="AB13" s="37"/>
      <c r="AC13" s="37">
        <f t="shared" si="2"/>
        <v>0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>
        <f t="shared" si="3"/>
        <v>0</v>
      </c>
    </row>
    <row r="14" spans="3:47" ht="12.75" hidden="1">
      <c r="C14" s="190" t="s">
        <v>821</v>
      </c>
      <c r="D14" s="232">
        <v>0.02</v>
      </c>
      <c r="E14" s="171"/>
      <c r="F14" s="171"/>
      <c r="G14" s="155">
        <v>0.009</v>
      </c>
      <c r="H14" s="91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0.002</v>
      </c>
      <c r="N14" s="13">
        <v>0.002</v>
      </c>
      <c r="O14" s="13">
        <v>0.002</v>
      </c>
      <c r="P14" s="13">
        <v>0.002</v>
      </c>
      <c r="Q14" s="13">
        <v>0.002</v>
      </c>
      <c r="R14" s="13">
        <v>0.002</v>
      </c>
      <c r="S14" s="13">
        <v>0.002</v>
      </c>
      <c r="T14" s="5">
        <f>SUM(H14:N14)</f>
        <v>0.004</v>
      </c>
      <c r="V14" s="36"/>
      <c r="W14" s="36"/>
      <c r="X14" s="36"/>
      <c r="Y14" s="36"/>
      <c r="Z14" s="36"/>
      <c r="AA14" s="36">
        <f t="shared" si="1"/>
        <v>0.02</v>
      </c>
      <c r="AB14" s="37"/>
      <c r="AC14" s="37">
        <f t="shared" si="2"/>
        <v>0.02</v>
      </c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>
        <v>0.02</v>
      </c>
      <c r="AS14" s="37"/>
      <c r="AT14" s="37"/>
      <c r="AU14" s="37">
        <f t="shared" si="3"/>
        <v>0.02</v>
      </c>
    </row>
    <row r="15" spans="2:47" ht="12.75" hidden="1">
      <c r="B15" s="27"/>
      <c r="C15" s="190" t="s">
        <v>822</v>
      </c>
      <c r="D15" s="232"/>
      <c r="E15" s="171"/>
      <c r="F15" s="171"/>
      <c r="G15" s="155"/>
      <c r="H15" s="52"/>
      <c r="S15" s="94"/>
      <c r="T15" s="94">
        <f>SUM(H15:S15)</f>
        <v>0</v>
      </c>
      <c r="V15" s="36"/>
      <c r="W15" s="36"/>
      <c r="X15" s="36"/>
      <c r="Y15" s="36"/>
      <c r="Z15" s="36"/>
      <c r="AA15" s="36">
        <f t="shared" si="1"/>
        <v>0</v>
      </c>
      <c r="AB15" s="37"/>
      <c r="AC15" s="37">
        <f t="shared" si="2"/>
        <v>0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>
        <f t="shared" si="3"/>
        <v>0</v>
      </c>
    </row>
    <row r="16" spans="2:47" ht="12.75" hidden="1">
      <c r="B16" s="27" t="s">
        <v>1528</v>
      </c>
      <c r="C16" s="190" t="s">
        <v>823</v>
      </c>
      <c r="D16" s="232">
        <v>0.55</v>
      </c>
      <c r="E16" s="171"/>
      <c r="F16" s="171"/>
      <c r="G16" s="155">
        <v>0.254</v>
      </c>
      <c r="H16" s="91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0.05</v>
      </c>
      <c r="N16" s="13">
        <v>0.05</v>
      </c>
      <c r="O16" s="13">
        <v>0.05</v>
      </c>
      <c r="P16" s="13">
        <v>0.05</v>
      </c>
      <c r="Q16" s="13">
        <v>0.05</v>
      </c>
      <c r="R16" s="13">
        <v>0.05</v>
      </c>
      <c r="S16" s="13">
        <v>0.05</v>
      </c>
      <c r="T16" s="5">
        <f>SUM(H16:N16)</f>
        <v>0.1</v>
      </c>
      <c r="V16" s="36"/>
      <c r="W16" s="36"/>
      <c r="X16" s="36"/>
      <c r="Y16" s="36"/>
      <c r="Z16" s="36"/>
      <c r="AA16" s="36">
        <f t="shared" si="1"/>
        <v>0.55</v>
      </c>
      <c r="AB16" s="37"/>
      <c r="AC16" s="37">
        <f t="shared" si="2"/>
        <v>0.55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>
        <v>0.55</v>
      </c>
      <c r="AS16" s="37"/>
      <c r="AT16" s="37"/>
      <c r="AU16" s="37">
        <f t="shared" si="3"/>
        <v>0.55</v>
      </c>
    </row>
    <row r="17" spans="2:47" ht="12.75" hidden="1">
      <c r="B17" s="27"/>
      <c r="C17" s="190" t="s">
        <v>824</v>
      </c>
      <c r="D17" s="232"/>
      <c r="E17" s="171"/>
      <c r="F17" s="171"/>
      <c r="G17" s="155"/>
      <c r="H17" s="52"/>
      <c r="S17" s="94"/>
      <c r="T17" s="94">
        <f>SUM(H17:S17)</f>
        <v>0</v>
      </c>
      <c r="V17" s="36"/>
      <c r="W17" s="36"/>
      <c r="X17" s="36"/>
      <c r="Y17" s="36"/>
      <c r="Z17" s="36"/>
      <c r="AA17" s="36">
        <f t="shared" si="1"/>
        <v>0</v>
      </c>
      <c r="AB17" s="37"/>
      <c r="AC17" s="37">
        <f t="shared" si="2"/>
        <v>0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>
        <f t="shared" si="3"/>
        <v>0</v>
      </c>
    </row>
    <row r="18" spans="2:47" ht="12.75" hidden="1">
      <c r="B18" s="27" t="s">
        <v>1532</v>
      </c>
      <c r="C18" s="190" t="s">
        <v>825</v>
      </c>
      <c r="D18" s="232">
        <v>0</v>
      </c>
      <c r="E18" s="171"/>
      <c r="F18" s="171"/>
      <c r="G18" s="155"/>
      <c r="H18" s="91">
        <v>0.171</v>
      </c>
      <c r="I18" s="13">
        <v>0</v>
      </c>
      <c r="J18" s="13">
        <v>0</v>
      </c>
      <c r="K18" s="13">
        <v>0</v>
      </c>
      <c r="L18" s="13">
        <v>0</v>
      </c>
      <c r="M18" s="13">
        <v>0.029</v>
      </c>
      <c r="N18" s="13">
        <v>0.029</v>
      </c>
      <c r="O18" s="13">
        <v>0.029</v>
      </c>
      <c r="P18" s="13">
        <v>0.029</v>
      </c>
      <c r="Q18" s="13">
        <v>0.029</v>
      </c>
      <c r="R18" s="13">
        <v>0.029</v>
      </c>
      <c r="S18" s="13">
        <v>0.029</v>
      </c>
      <c r="T18" s="5">
        <f>SUM(H18:N18)</f>
        <v>0.229</v>
      </c>
      <c r="V18" s="36"/>
      <c r="W18" s="36"/>
      <c r="X18" s="36"/>
      <c r="Y18" s="36"/>
      <c r="Z18" s="36"/>
      <c r="AA18" s="36">
        <f t="shared" si="1"/>
        <v>0</v>
      </c>
      <c r="AB18" s="37"/>
      <c r="AC18" s="37">
        <f t="shared" si="2"/>
        <v>0</v>
      </c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>
        <f t="shared" si="3"/>
        <v>0</v>
      </c>
    </row>
    <row r="19" spans="2:47" ht="12.75">
      <c r="B19" s="252" t="s">
        <v>1460</v>
      </c>
      <c r="C19" s="190" t="s">
        <v>826</v>
      </c>
      <c r="D19" s="232">
        <f>SUM(D20:D28)</f>
        <v>1.423</v>
      </c>
      <c r="E19" s="171"/>
      <c r="F19" s="171"/>
      <c r="G19" s="232">
        <f>SUM(G20:G28)</f>
        <v>0.639</v>
      </c>
      <c r="H19" s="234">
        <f aca="true" t="shared" si="4" ref="H19:AU19">SUM(H20:H28)</f>
        <v>0.5810000000000001</v>
      </c>
      <c r="I19" s="235">
        <f t="shared" si="4"/>
        <v>0</v>
      </c>
      <c r="J19" s="235">
        <f t="shared" si="4"/>
        <v>0</v>
      </c>
      <c r="K19" s="235">
        <f t="shared" si="4"/>
        <v>0</v>
      </c>
      <c r="L19" s="235">
        <f t="shared" si="4"/>
        <v>0</v>
      </c>
      <c r="M19" s="235">
        <f t="shared" si="4"/>
        <v>0.1325714285714286</v>
      </c>
      <c r="N19" s="235">
        <f t="shared" si="4"/>
        <v>0.1325714285714286</v>
      </c>
      <c r="O19" s="235">
        <f t="shared" si="4"/>
        <v>0.1325714285714286</v>
      </c>
      <c r="P19" s="235">
        <f t="shared" si="4"/>
        <v>0.1325714285714286</v>
      </c>
      <c r="Q19" s="235">
        <f t="shared" si="4"/>
        <v>0.1325714285714286</v>
      </c>
      <c r="R19" s="235">
        <f t="shared" si="4"/>
        <v>0.1325714285714286</v>
      </c>
      <c r="S19" s="235">
        <f t="shared" si="4"/>
        <v>0.1325714285714286</v>
      </c>
      <c r="T19" s="232">
        <f>SUM(T20:T28)</f>
        <v>0.8461428571428571</v>
      </c>
      <c r="U19" s="234"/>
      <c r="V19" s="238">
        <f t="shared" si="4"/>
        <v>0</v>
      </c>
      <c r="W19" s="238">
        <f t="shared" si="4"/>
        <v>0</v>
      </c>
      <c r="X19" s="238">
        <f t="shared" si="4"/>
        <v>0</v>
      </c>
      <c r="Y19" s="238">
        <f t="shared" si="4"/>
        <v>0</v>
      </c>
      <c r="Z19" s="238">
        <f t="shared" si="4"/>
        <v>0</v>
      </c>
      <c r="AA19" s="238">
        <f t="shared" si="4"/>
        <v>1.423</v>
      </c>
      <c r="AB19" s="238">
        <f t="shared" si="4"/>
        <v>0</v>
      </c>
      <c r="AC19" s="238">
        <f t="shared" si="4"/>
        <v>1.423</v>
      </c>
      <c r="AD19" s="235"/>
      <c r="AE19" s="238">
        <f t="shared" si="4"/>
        <v>0</v>
      </c>
      <c r="AF19" s="238">
        <f t="shared" si="4"/>
        <v>0</v>
      </c>
      <c r="AG19" s="238">
        <f t="shared" si="4"/>
        <v>0</v>
      </c>
      <c r="AH19" s="238">
        <f t="shared" si="4"/>
        <v>0</v>
      </c>
      <c r="AI19" s="238">
        <f t="shared" si="4"/>
        <v>0</v>
      </c>
      <c r="AJ19" s="238">
        <f t="shared" si="4"/>
        <v>0</v>
      </c>
      <c r="AK19" s="238">
        <f t="shared" si="4"/>
        <v>0</v>
      </c>
      <c r="AL19" s="238">
        <f t="shared" si="4"/>
        <v>0</v>
      </c>
      <c r="AM19" s="238">
        <f t="shared" si="4"/>
        <v>0</v>
      </c>
      <c r="AN19" s="238">
        <f t="shared" si="4"/>
        <v>0</v>
      </c>
      <c r="AO19" s="238">
        <f t="shared" si="4"/>
        <v>0</v>
      </c>
      <c r="AP19" s="238">
        <f t="shared" si="4"/>
        <v>0</v>
      </c>
      <c r="AQ19" s="238">
        <f t="shared" si="4"/>
        <v>0</v>
      </c>
      <c r="AR19" s="238">
        <f t="shared" si="4"/>
        <v>1.423</v>
      </c>
      <c r="AS19" s="238">
        <f t="shared" si="4"/>
        <v>0</v>
      </c>
      <c r="AT19" s="238">
        <f t="shared" si="4"/>
        <v>0</v>
      </c>
      <c r="AU19" s="238">
        <f t="shared" si="4"/>
        <v>1.423</v>
      </c>
    </row>
    <row r="20" spans="2:47" ht="12.75" hidden="1">
      <c r="B20" s="27" t="s">
        <v>849</v>
      </c>
      <c r="C20" s="190" t="s">
        <v>827</v>
      </c>
      <c r="D20" s="232">
        <v>0.025</v>
      </c>
      <c r="E20" s="171"/>
      <c r="F20" s="171"/>
      <c r="G20" s="155">
        <v>0.001</v>
      </c>
      <c r="H20" s="91">
        <v>0.001</v>
      </c>
      <c r="I20" s="13">
        <v>0</v>
      </c>
      <c r="J20" s="13">
        <v>0</v>
      </c>
      <c r="K20" s="13">
        <v>0</v>
      </c>
      <c r="L20" s="13">
        <v>0</v>
      </c>
      <c r="M20" s="13">
        <v>0.0027142857142857147</v>
      </c>
      <c r="N20" s="13">
        <v>0.0027142857142857147</v>
      </c>
      <c r="O20" s="13">
        <v>0.0027142857142857147</v>
      </c>
      <c r="P20" s="13">
        <v>0.0027142857142857147</v>
      </c>
      <c r="Q20" s="13">
        <v>0.0027142857142857147</v>
      </c>
      <c r="R20" s="13">
        <v>0.0027142857142857147</v>
      </c>
      <c r="S20" s="13">
        <v>0.0027142857142857147</v>
      </c>
      <c r="T20" s="5">
        <f aca="true" t="shared" si="5" ref="T20:T28">SUM(H20:N20)</f>
        <v>0.006428571428571429</v>
      </c>
      <c r="V20" s="36"/>
      <c r="W20" s="36"/>
      <c r="X20" s="36"/>
      <c r="Y20" s="36"/>
      <c r="Z20" s="36"/>
      <c r="AA20" s="36">
        <f t="shared" si="1"/>
        <v>0.025</v>
      </c>
      <c r="AB20" s="37"/>
      <c r="AC20" s="37">
        <f t="shared" si="2"/>
        <v>0.025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>
        <v>0.025</v>
      </c>
      <c r="AS20" s="37"/>
      <c r="AT20" s="37"/>
      <c r="AU20" s="37">
        <f t="shared" si="3"/>
        <v>0.025</v>
      </c>
    </row>
    <row r="21" spans="2:47" ht="12.75" hidden="1">
      <c r="B21" s="27"/>
      <c r="C21" s="190" t="s">
        <v>828</v>
      </c>
      <c r="D21" s="232"/>
      <c r="E21" s="171"/>
      <c r="F21" s="171"/>
      <c r="G21" s="155"/>
      <c r="H21" s="91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5">
        <f t="shared" si="5"/>
        <v>0</v>
      </c>
      <c r="V21" s="36"/>
      <c r="W21" s="36"/>
      <c r="X21" s="36"/>
      <c r="Y21" s="36"/>
      <c r="Z21" s="36"/>
      <c r="AA21" s="36">
        <f t="shared" si="1"/>
        <v>0</v>
      </c>
      <c r="AB21" s="37"/>
      <c r="AC21" s="37">
        <f t="shared" si="2"/>
        <v>0</v>
      </c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>
        <v>0</v>
      </c>
      <c r="AS21" s="37"/>
      <c r="AT21" s="37"/>
      <c r="AU21" s="37">
        <f t="shared" si="3"/>
        <v>0</v>
      </c>
    </row>
    <row r="22" spans="2:47" ht="12.75" hidden="1">
      <c r="B22" s="27" t="s">
        <v>850</v>
      </c>
      <c r="C22" s="190" t="s">
        <v>829</v>
      </c>
      <c r="D22" s="232">
        <v>0.264</v>
      </c>
      <c r="E22" s="171"/>
      <c r="F22" s="171"/>
      <c r="G22" s="155">
        <v>0.223</v>
      </c>
      <c r="H22" s="91">
        <v>0.213</v>
      </c>
      <c r="I22" s="13">
        <v>0</v>
      </c>
      <c r="J22" s="13">
        <v>0</v>
      </c>
      <c r="K22" s="13">
        <v>0</v>
      </c>
      <c r="L22" s="13">
        <v>0</v>
      </c>
      <c r="M22" s="13">
        <v>0.016</v>
      </c>
      <c r="N22" s="13">
        <v>0.016</v>
      </c>
      <c r="O22" s="13">
        <v>0.016</v>
      </c>
      <c r="P22" s="13">
        <v>0.016</v>
      </c>
      <c r="Q22" s="13">
        <v>0.016</v>
      </c>
      <c r="R22" s="13">
        <v>0.016</v>
      </c>
      <c r="S22" s="13">
        <v>0.016</v>
      </c>
      <c r="T22" s="5">
        <f t="shared" si="5"/>
        <v>0.245</v>
      </c>
      <c r="V22" s="36"/>
      <c r="W22" s="36"/>
      <c r="X22" s="36"/>
      <c r="Y22" s="36"/>
      <c r="Z22" s="36"/>
      <c r="AA22" s="36">
        <f t="shared" si="1"/>
        <v>0.264</v>
      </c>
      <c r="AB22" s="37"/>
      <c r="AC22" s="37">
        <f t="shared" si="2"/>
        <v>0.264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>
        <v>0.264</v>
      </c>
      <c r="AS22" s="37"/>
      <c r="AT22" s="37"/>
      <c r="AU22" s="37">
        <f t="shared" si="3"/>
        <v>0.264</v>
      </c>
    </row>
    <row r="23" spans="2:47" ht="12.75" hidden="1">
      <c r="B23" s="27"/>
      <c r="C23" s="190" t="s">
        <v>830</v>
      </c>
      <c r="D23" s="232"/>
      <c r="E23" s="171"/>
      <c r="F23" s="171"/>
      <c r="G23" s="155">
        <v>0</v>
      </c>
      <c r="H23" s="91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5">
        <f t="shared" si="5"/>
        <v>0</v>
      </c>
      <c r="V23" s="36"/>
      <c r="W23" s="36"/>
      <c r="X23" s="36"/>
      <c r="Y23" s="36"/>
      <c r="Z23" s="36"/>
      <c r="AA23" s="36">
        <f t="shared" si="1"/>
        <v>0</v>
      </c>
      <c r="AB23" s="37"/>
      <c r="AC23" s="37">
        <f t="shared" si="2"/>
        <v>0</v>
      </c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>
        <v>0</v>
      </c>
      <c r="AS23" s="37"/>
      <c r="AT23" s="37"/>
      <c r="AU23" s="37">
        <f t="shared" si="3"/>
        <v>0</v>
      </c>
    </row>
    <row r="24" spans="2:47" ht="12.75" hidden="1">
      <c r="B24" s="27" t="s">
        <v>851</v>
      </c>
      <c r="C24" s="190" t="s">
        <v>831</v>
      </c>
      <c r="D24" s="232">
        <v>0.208</v>
      </c>
      <c r="E24" s="171"/>
      <c r="F24" s="171"/>
      <c r="G24" s="155">
        <v>0.021</v>
      </c>
      <c r="H24" s="91">
        <v>0.008</v>
      </c>
      <c r="I24" s="13">
        <v>0</v>
      </c>
      <c r="J24" s="13">
        <v>0</v>
      </c>
      <c r="K24" s="13">
        <v>0</v>
      </c>
      <c r="L24" s="13">
        <v>0</v>
      </c>
      <c r="M24" s="13">
        <v>0.032857142857142856</v>
      </c>
      <c r="N24" s="13">
        <v>0.032857142857142856</v>
      </c>
      <c r="O24" s="13">
        <v>0.032857142857142856</v>
      </c>
      <c r="P24" s="13">
        <v>0.032857142857142856</v>
      </c>
      <c r="Q24" s="13">
        <v>0.032857142857142856</v>
      </c>
      <c r="R24" s="13">
        <v>0.032857142857142856</v>
      </c>
      <c r="S24" s="13">
        <v>0.032857142857142856</v>
      </c>
      <c r="T24" s="5">
        <f t="shared" si="5"/>
        <v>0.0737142857142857</v>
      </c>
      <c r="V24" s="36"/>
      <c r="W24" s="36"/>
      <c r="X24" s="36"/>
      <c r="Y24" s="36"/>
      <c r="Z24" s="36"/>
      <c r="AA24" s="36">
        <f t="shared" si="1"/>
        <v>0.208</v>
      </c>
      <c r="AB24" s="37"/>
      <c r="AC24" s="37">
        <f t="shared" si="2"/>
        <v>0.208</v>
      </c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>
        <v>0.208</v>
      </c>
      <c r="AS24" s="37"/>
      <c r="AT24" s="37"/>
      <c r="AU24" s="37">
        <f t="shared" si="3"/>
        <v>0.208</v>
      </c>
    </row>
    <row r="25" spans="2:47" ht="12.75" hidden="1">
      <c r="B25" s="27"/>
      <c r="C25" s="190" t="s">
        <v>832</v>
      </c>
      <c r="D25" s="232">
        <v>0.151</v>
      </c>
      <c r="E25" s="171"/>
      <c r="F25" s="171"/>
      <c r="G25" s="155">
        <v>0.127</v>
      </c>
      <c r="H25" s="91">
        <v>0.127</v>
      </c>
      <c r="I25" s="13">
        <v>0</v>
      </c>
      <c r="J25" s="13">
        <v>0</v>
      </c>
      <c r="K25" s="13">
        <v>0</v>
      </c>
      <c r="L25" s="13">
        <v>0</v>
      </c>
      <c r="M25" s="13">
        <v>0.003</v>
      </c>
      <c r="N25" s="13">
        <v>0.003</v>
      </c>
      <c r="O25" s="13">
        <v>0.003</v>
      </c>
      <c r="P25" s="13">
        <v>0.003</v>
      </c>
      <c r="Q25" s="13">
        <v>0.003</v>
      </c>
      <c r="R25" s="13">
        <v>0.003</v>
      </c>
      <c r="S25" s="13">
        <v>0.003</v>
      </c>
      <c r="T25" s="5">
        <f t="shared" si="5"/>
        <v>0.133</v>
      </c>
      <c r="V25" s="36"/>
      <c r="W25" s="36"/>
      <c r="X25" s="36"/>
      <c r="Y25" s="36"/>
      <c r="Z25" s="36"/>
      <c r="AA25" s="36">
        <f t="shared" si="1"/>
        <v>0.151</v>
      </c>
      <c r="AB25" s="37"/>
      <c r="AC25" s="37">
        <f t="shared" si="2"/>
        <v>0.151</v>
      </c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>
        <v>0.151</v>
      </c>
      <c r="AS25" s="37"/>
      <c r="AT25" s="37"/>
      <c r="AU25" s="37">
        <f t="shared" si="3"/>
        <v>0.151</v>
      </c>
    </row>
    <row r="26" spans="2:47" ht="12.75" hidden="1">
      <c r="B26" s="27"/>
      <c r="C26" s="190" t="s">
        <v>833</v>
      </c>
      <c r="D26" s="232">
        <v>0.345</v>
      </c>
      <c r="E26" s="171"/>
      <c r="F26" s="171"/>
      <c r="G26" s="155">
        <v>0.031</v>
      </c>
      <c r="H26" s="91">
        <v>0.031</v>
      </c>
      <c r="I26" s="13">
        <v>0</v>
      </c>
      <c r="J26" s="13">
        <v>0</v>
      </c>
      <c r="K26" s="13">
        <v>0</v>
      </c>
      <c r="L26" s="13">
        <v>0</v>
      </c>
      <c r="M26" s="13">
        <v>0.045</v>
      </c>
      <c r="N26" s="13">
        <v>0.045</v>
      </c>
      <c r="O26" s="13">
        <v>0.045</v>
      </c>
      <c r="P26" s="13">
        <v>0.045</v>
      </c>
      <c r="Q26" s="13">
        <v>0.045</v>
      </c>
      <c r="R26" s="13">
        <v>0.045</v>
      </c>
      <c r="S26" s="13">
        <v>0.045</v>
      </c>
      <c r="T26" s="5">
        <f t="shared" si="5"/>
        <v>0.121</v>
      </c>
      <c r="V26" s="36"/>
      <c r="W26" s="36"/>
      <c r="X26" s="36"/>
      <c r="Y26" s="36"/>
      <c r="Z26" s="36"/>
      <c r="AA26" s="36">
        <f t="shared" si="1"/>
        <v>0.345</v>
      </c>
      <c r="AB26" s="37"/>
      <c r="AC26" s="37">
        <f t="shared" si="2"/>
        <v>0.345</v>
      </c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>
        <v>0.345</v>
      </c>
      <c r="AS26" s="37"/>
      <c r="AT26" s="37"/>
      <c r="AU26" s="37">
        <f t="shared" si="3"/>
        <v>0.345</v>
      </c>
    </row>
    <row r="27" spans="2:47" ht="12.75" hidden="1">
      <c r="B27" s="250" t="s">
        <v>1533</v>
      </c>
      <c r="C27" s="190" t="s">
        <v>834</v>
      </c>
      <c r="D27" s="232">
        <v>0.315</v>
      </c>
      <c r="E27" s="171"/>
      <c r="F27" s="171"/>
      <c r="G27" s="155">
        <v>0.182</v>
      </c>
      <c r="H27" s="91">
        <v>0.163</v>
      </c>
      <c r="I27" s="13">
        <v>0</v>
      </c>
      <c r="J27" s="13">
        <v>0</v>
      </c>
      <c r="K27" s="13">
        <v>0</v>
      </c>
      <c r="L27" s="13">
        <v>0</v>
      </c>
      <c r="M27" s="13">
        <v>0.022</v>
      </c>
      <c r="N27" s="13">
        <v>0.022</v>
      </c>
      <c r="O27" s="13">
        <v>0.022</v>
      </c>
      <c r="P27" s="13">
        <v>0.022</v>
      </c>
      <c r="Q27" s="13">
        <v>0.022</v>
      </c>
      <c r="R27" s="13">
        <v>0.022</v>
      </c>
      <c r="S27" s="13">
        <v>0.022</v>
      </c>
      <c r="T27" s="5">
        <f t="shared" si="5"/>
        <v>0.207</v>
      </c>
      <c r="V27" s="36"/>
      <c r="W27" s="36"/>
      <c r="X27" s="36"/>
      <c r="Y27" s="36"/>
      <c r="Z27" s="36"/>
      <c r="AA27" s="36">
        <f t="shared" si="1"/>
        <v>0.315</v>
      </c>
      <c r="AB27" s="37"/>
      <c r="AC27" s="37">
        <f t="shared" si="2"/>
        <v>0.315</v>
      </c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>
        <v>0.315</v>
      </c>
      <c r="AS27" s="37"/>
      <c r="AT27" s="37"/>
      <c r="AU27" s="37">
        <f t="shared" si="3"/>
        <v>0.315</v>
      </c>
    </row>
    <row r="28" spans="2:47" ht="12.75" hidden="1">
      <c r="B28" s="33" t="s">
        <v>852</v>
      </c>
      <c r="C28" s="190" t="s">
        <v>835</v>
      </c>
      <c r="D28" s="232">
        <v>0.115</v>
      </c>
      <c r="E28" s="171"/>
      <c r="F28" s="171"/>
      <c r="G28" s="155">
        <v>0.054</v>
      </c>
      <c r="H28" s="91">
        <v>0.038</v>
      </c>
      <c r="I28" s="13">
        <v>0</v>
      </c>
      <c r="J28" s="13">
        <v>0</v>
      </c>
      <c r="K28" s="13">
        <v>0</v>
      </c>
      <c r="L28" s="13">
        <v>0</v>
      </c>
      <c r="M28" s="13">
        <v>0.011</v>
      </c>
      <c r="N28" s="13">
        <v>0.011</v>
      </c>
      <c r="O28" s="13">
        <v>0.011</v>
      </c>
      <c r="P28" s="13">
        <v>0.011</v>
      </c>
      <c r="Q28" s="13">
        <v>0.011</v>
      </c>
      <c r="R28" s="13">
        <v>0.011</v>
      </c>
      <c r="S28" s="13">
        <v>0.011</v>
      </c>
      <c r="T28" s="5">
        <f t="shared" si="5"/>
        <v>0.06</v>
      </c>
      <c r="V28" s="36"/>
      <c r="W28" s="36"/>
      <c r="X28" s="36"/>
      <c r="Y28" s="36"/>
      <c r="Z28" s="36"/>
      <c r="AA28" s="36">
        <f t="shared" si="1"/>
        <v>0.115</v>
      </c>
      <c r="AB28" s="37"/>
      <c r="AC28" s="37">
        <f t="shared" si="2"/>
        <v>0.115</v>
      </c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>
        <v>0.115</v>
      </c>
      <c r="AS28" s="37"/>
      <c r="AT28" s="37"/>
      <c r="AU28" s="37">
        <f t="shared" si="3"/>
        <v>0.115</v>
      </c>
    </row>
    <row r="29" spans="2:47" ht="12.75">
      <c r="B29" s="252" t="s">
        <v>1460</v>
      </c>
      <c r="C29" s="190" t="s">
        <v>836</v>
      </c>
      <c r="D29" s="232">
        <f>SUM(D30)</f>
        <v>0.1</v>
      </c>
      <c r="E29" s="171"/>
      <c r="F29" s="171"/>
      <c r="G29" s="232">
        <f>SUM(G30)</f>
        <v>0</v>
      </c>
      <c r="H29" s="91">
        <f>G29</f>
        <v>0</v>
      </c>
      <c r="I29" s="13">
        <v>0</v>
      </c>
      <c r="J29" s="13">
        <v>0</v>
      </c>
      <c r="K29" s="13">
        <v>0</v>
      </c>
      <c r="L29" s="13">
        <v>0</v>
      </c>
      <c r="M29" s="13">
        <f aca="true" t="shared" si="6" ref="M29:S29">($D29-$G29)/7</f>
        <v>0.014285714285714287</v>
      </c>
      <c r="N29" s="13">
        <f t="shared" si="6"/>
        <v>0.014285714285714287</v>
      </c>
      <c r="O29" s="13">
        <f t="shared" si="6"/>
        <v>0.014285714285714287</v>
      </c>
      <c r="P29" s="13">
        <f t="shared" si="6"/>
        <v>0.014285714285714287</v>
      </c>
      <c r="Q29" s="13">
        <f t="shared" si="6"/>
        <v>0.014285714285714287</v>
      </c>
      <c r="R29" s="13">
        <f t="shared" si="6"/>
        <v>0.014285714285714287</v>
      </c>
      <c r="S29" s="13">
        <f t="shared" si="6"/>
        <v>0.014285714285714287</v>
      </c>
      <c r="T29" s="232">
        <f>SUM(T30)</f>
        <v>0.028571428571428574</v>
      </c>
      <c r="U29" s="234"/>
      <c r="V29" s="238">
        <f aca="true" t="shared" si="7" ref="V29:AU29">SUM(V30)</f>
        <v>0</v>
      </c>
      <c r="W29" s="238">
        <f t="shared" si="7"/>
        <v>0</v>
      </c>
      <c r="X29" s="238">
        <f t="shared" si="7"/>
        <v>0</v>
      </c>
      <c r="Y29" s="238">
        <f t="shared" si="7"/>
        <v>0</v>
      </c>
      <c r="Z29" s="238">
        <f t="shared" si="7"/>
        <v>0</v>
      </c>
      <c r="AA29" s="238">
        <f t="shared" si="7"/>
        <v>0.1</v>
      </c>
      <c r="AB29" s="238">
        <f t="shared" si="7"/>
        <v>0</v>
      </c>
      <c r="AC29" s="238">
        <f t="shared" si="7"/>
        <v>0.1</v>
      </c>
      <c r="AD29" s="235"/>
      <c r="AE29" s="238">
        <f t="shared" si="7"/>
        <v>0</v>
      </c>
      <c r="AF29" s="238">
        <f t="shared" si="7"/>
        <v>0</v>
      </c>
      <c r="AG29" s="238">
        <f t="shared" si="7"/>
        <v>0</v>
      </c>
      <c r="AH29" s="238">
        <f t="shared" si="7"/>
        <v>0</v>
      </c>
      <c r="AI29" s="238">
        <f t="shared" si="7"/>
        <v>0</v>
      </c>
      <c r="AJ29" s="238">
        <f t="shared" si="7"/>
        <v>0</v>
      </c>
      <c r="AK29" s="238">
        <f t="shared" si="7"/>
        <v>0</v>
      </c>
      <c r="AL29" s="238">
        <f t="shared" si="7"/>
        <v>0</v>
      </c>
      <c r="AM29" s="238">
        <f t="shared" si="7"/>
        <v>0</v>
      </c>
      <c r="AN29" s="238">
        <f t="shared" si="7"/>
        <v>0</v>
      </c>
      <c r="AO29" s="238">
        <f t="shared" si="7"/>
        <v>0</v>
      </c>
      <c r="AP29" s="238">
        <f t="shared" si="7"/>
        <v>0</v>
      </c>
      <c r="AQ29" s="238">
        <f t="shared" si="7"/>
        <v>0</v>
      </c>
      <c r="AR29" s="238">
        <f t="shared" si="7"/>
        <v>0.1</v>
      </c>
      <c r="AS29" s="238">
        <f t="shared" si="7"/>
        <v>0</v>
      </c>
      <c r="AT29" s="238">
        <f t="shared" si="7"/>
        <v>0</v>
      </c>
      <c r="AU29" s="238">
        <f t="shared" si="7"/>
        <v>0.1</v>
      </c>
    </row>
    <row r="30" spans="3:47" ht="12.75" hidden="1">
      <c r="C30" s="190" t="s">
        <v>837</v>
      </c>
      <c r="D30" s="232">
        <v>0.1</v>
      </c>
      <c r="E30" s="171"/>
      <c r="F30" s="171"/>
      <c r="G30" s="155"/>
      <c r="H30" s="91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0.014285714285714287</v>
      </c>
      <c r="N30" s="13">
        <v>0.014285714285714287</v>
      </c>
      <c r="O30" s="13">
        <v>0.014285714285714287</v>
      </c>
      <c r="P30" s="13">
        <v>0.014285714285714287</v>
      </c>
      <c r="Q30" s="13">
        <v>0.014285714285714287</v>
      </c>
      <c r="R30" s="13">
        <v>0.014285714285714287</v>
      </c>
      <c r="S30" s="13">
        <v>0.014285714285714287</v>
      </c>
      <c r="T30" s="5">
        <f>SUM(H30:N30)</f>
        <v>0.028571428571428574</v>
      </c>
      <c r="V30" s="36"/>
      <c r="W30" s="36"/>
      <c r="X30" s="36"/>
      <c r="Y30" s="36"/>
      <c r="Z30" s="36"/>
      <c r="AA30" s="36">
        <f t="shared" si="1"/>
        <v>0.1</v>
      </c>
      <c r="AB30" s="37"/>
      <c r="AC30" s="37">
        <f t="shared" si="2"/>
        <v>0.1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>
        <v>0.1</v>
      </c>
      <c r="AS30" s="37"/>
      <c r="AT30" s="37"/>
      <c r="AU30" s="37">
        <f t="shared" si="3"/>
        <v>0.1</v>
      </c>
    </row>
    <row r="31" spans="2:47" ht="12.75">
      <c r="B31" s="252" t="s">
        <v>1460</v>
      </c>
      <c r="C31" s="190" t="s">
        <v>838</v>
      </c>
      <c r="D31" s="232">
        <f>SUM(D32)</f>
        <v>0.25</v>
      </c>
      <c r="E31" s="171"/>
      <c r="F31" s="171"/>
      <c r="G31" s="232">
        <f>SUM(G32)</f>
        <v>0.209</v>
      </c>
      <c r="H31" s="234">
        <f aca="true" t="shared" si="8" ref="H31:AU31">SUM(H32)</f>
        <v>0.196</v>
      </c>
      <c r="I31" s="235">
        <f t="shared" si="8"/>
        <v>0</v>
      </c>
      <c r="J31" s="235">
        <f t="shared" si="8"/>
        <v>0</v>
      </c>
      <c r="K31" s="235">
        <f t="shared" si="8"/>
        <v>0</v>
      </c>
      <c r="L31" s="235">
        <f t="shared" si="8"/>
        <v>0</v>
      </c>
      <c r="M31" s="235">
        <f t="shared" si="8"/>
        <v>0.008</v>
      </c>
      <c r="N31" s="235">
        <f t="shared" si="8"/>
        <v>0.008</v>
      </c>
      <c r="O31" s="235">
        <f t="shared" si="8"/>
        <v>0.008</v>
      </c>
      <c r="P31" s="235">
        <f t="shared" si="8"/>
        <v>0.008</v>
      </c>
      <c r="Q31" s="235">
        <f t="shared" si="8"/>
        <v>0.008</v>
      </c>
      <c r="R31" s="235">
        <f t="shared" si="8"/>
        <v>0.008</v>
      </c>
      <c r="S31" s="235">
        <f t="shared" si="8"/>
        <v>0.008</v>
      </c>
      <c r="T31" s="232">
        <f>SUM(T32)</f>
        <v>0.21200000000000002</v>
      </c>
      <c r="U31" s="234"/>
      <c r="V31" s="238">
        <f t="shared" si="8"/>
        <v>0</v>
      </c>
      <c r="W31" s="238">
        <f t="shared" si="8"/>
        <v>0</v>
      </c>
      <c r="X31" s="238">
        <f t="shared" si="8"/>
        <v>0</v>
      </c>
      <c r="Y31" s="238">
        <f t="shared" si="8"/>
        <v>0</v>
      </c>
      <c r="Z31" s="238">
        <f t="shared" si="8"/>
        <v>0.25</v>
      </c>
      <c r="AA31" s="238">
        <f t="shared" si="8"/>
        <v>0</v>
      </c>
      <c r="AB31" s="238">
        <f t="shared" si="8"/>
        <v>0</v>
      </c>
      <c r="AC31" s="238">
        <f t="shared" si="8"/>
        <v>0.25</v>
      </c>
      <c r="AD31" s="235"/>
      <c r="AE31" s="238">
        <f t="shared" si="8"/>
        <v>0</v>
      </c>
      <c r="AF31" s="238">
        <f t="shared" si="8"/>
        <v>0</v>
      </c>
      <c r="AG31" s="238">
        <f t="shared" si="8"/>
        <v>0</v>
      </c>
      <c r="AH31" s="238">
        <f t="shared" si="8"/>
        <v>0</v>
      </c>
      <c r="AI31" s="238">
        <f t="shared" si="8"/>
        <v>0</v>
      </c>
      <c r="AJ31" s="238">
        <f t="shared" si="8"/>
        <v>0</v>
      </c>
      <c r="AK31" s="238">
        <f t="shared" si="8"/>
        <v>0</v>
      </c>
      <c r="AL31" s="238">
        <f t="shared" si="8"/>
        <v>0</v>
      </c>
      <c r="AM31" s="238">
        <f t="shared" si="8"/>
        <v>0</v>
      </c>
      <c r="AN31" s="238">
        <f t="shared" si="8"/>
        <v>0</v>
      </c>
      <c r="AO31" s="238">
        <f t="shared" si="8"/>
        <v>0</v>
      </c>
      <c r="AP31" s="238">
        <f t="shared" si="8"/>
        <v>0</v>
      </c>
      <c r="AQ31" s="238">
        <f t="shared" si="8"/>
        <v>0</v>
      </c>
      <c r="AR31" s="238">
        <f t="shared" si="8"/>
        <v>0</v>
      </c>
      <c r="AS31" s="238">
        <f t="shared" si="8"/>
        <v>0</v>
      </c>
      <c r="AT31" s="238">
        <f t="shared" si="8"/>
        <v>0</v>
      </c>
      <c r="AU31" s="238">
        <f t="shared" si="8"/>
        <v>0</v>
      </c>
    </row>
    <row r="32" spans="3:47" ht="12.75" hidden="1">
      <c r="C32" s="190" t="s">
        <v>839</v>
      </c>
      <c r="D32" s="232">
        <v>0.25</v>
      </c>
      <c r="E32" s="171"/>
      <c r="F32" s="171"/>
      <c r="G32" s="155">
        <v>0.209</v>
      </c>
      <c r="H32" s="91">
        <v>0.196</v>
      </c>
      <c r="I32" s="13">
        <v>0</v>
      </c>
      <c r="J32" s="13">
        <v>0</v>
      </c>
      <c r="K32" s="13">
        <v>0</v>
      </c>
      <c r="L32" s="13">
        <v>0</v>
      </c>
      <c r="M32" s="13">
        <v>0.008</v>
      </c>
      <c r="N32" s="13">
        <v>0.008</v>
      </c>
      <c r="O32" s="13">
        <v>0.008</v>
      </c>
      <c r="P32" s="13">
        <v>0.008</v>
      </c>
      <c r="Q32" s="13">
        <v>0.008</v>
      </c>
      <c r="R32" s="13">
        <v>0.008</v>
      </c>
      <c r="S32" s="13">
        <v>0.008</v>
      </c>
      <c r="T32" s="5">
        <f>SUM(H32:N32)</f>
        <v>0.21200000000000002</v>
      </c>
      <c r="V32" s="36"/>
      <c r="W32" s="36"/>
      <c r="X32" s="36"/>
      <c r="Y32" s="36"/>
      <c r="Z32" s="36">
        <v>0.25</v>
      </c>
      <c r="AA32" s="36">
        <f t="shared" si="1"/>
        <v>0</v>
      </c>
      <c r="AB32" s="37"/>
      <c r="AC32" s="37">
        <f t="shared" si="2"/>
        <v>0.25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>
        <f t="shared" si="3"/>
        <v>0</v>
      </c>
    </row>
    <row r="33" spans="2:47" ht="12.75">
      <c r="B33" s="252" t="s">
        <v>1460</v>
      </c>
      <c r="C33" s="190" t="s">
        <v>840</v>
      </c>
      <c r="D33" s="232">
        <f>SUM(D34:D46)</f>
        <v>2.2190000000000003</v>
      </c>
      <c r="E33" s="171"/>
      <c r="F33" s="171"/>
      <c r="G33" s="232">
        <f>SUM(G34:G46)</f>
        <v>1.2879999999999996</v>
      </c>
      <c r="H33" s="234">
        <f aca="true" t="shared" si="9" ref="H33:AU33">SUM(H34:H46)</f>
        <v>1.0599999999999996</v>
      </c>
      <c r="I33" s="235">
        <f t="shared" si="9"/>
        <v>0</v>
      </c>
      <c r="J33" s="235">
        <f t="shared" si="9"/>
        <v>0</v>
      </c>
      <c r="K33" s="235">
        <f t="shared" si="9"/>
        <v>0</v>
      </c>
      <c r="L33" s="235">
        <f t="shared" si="9"/>
        <v>0</v>
      </c>
      <c r="M33" s="235">
        <f t="shared" si="9"/>
        <v>0.06128571428571428</v>
      </c>
      <c r="N33" s="235">
        <f t="shared" si="9"/>
        <v>0.06128571428571428</v>
      </c>
      <c r="O33" s="235">
        <f t="shared" si="9"/>
        <v>0.06128571428571428</v>
      </c>
      <c r="P33" s="235">
        <f t="shared" si="9"/>
        <v>0.06128571428571428</v>
      </c>
      <c r="Q33" s="235">
        <f t="shared" si="9"/>
        <v>0.06242857142857142</v>
      </c>
      <c r="R33" s="235">
        <f t="shared" si="9"/>
        <v>0.06242857142857142</v>
      </c>
      <c r="S33" s="235">
        <f t="shared" si="9"/>
        <v>0.06242857142857142</v>
      </c>
      <c r="T33" s="232">
        <f t="shared" si="9"/>
        <v>1.1825714285714284</v>
      </c>
      <c r="U33" s="234"/>
      <c r="V33" s="238">
        <f t="shared" si="9"/>
        <v>0</v>
      </c>
      <c r="W33" s="238">
        <f t="shared" si="9"/>
        <v>0</v>
      </c>
      <c r="X33" s="238">
        <f t="shared" si="9"/>
        <v>0</v>
      </c>
      <c r="Y33" s="238">
        <f t="shared" si="9"/>
        <v>0</v>
      </c>
      <c r="Z33" s="238">
        <f t="shared" si="9"/>
        <v>1.3749999999999998</v>
      </c>
      <c r="AA33" s="238">
        <f t="shared" si="9"/>
        <v>0.8440000000000001</v>
      </c>
      <c r="AB33" s="238">
        <f t="shared" si="9"/>
        <v>0</v>
      </c>
      <c r="AC33" s="238">
        <f t="shared" si="9"/>
        <v>2.2190000000000003</v>
      </c>
      <c r="AD33" s="235"/>
      <c r="AE33" s="238">
        <f t="shared" si="9"/>
        <v>0</v>
      </c>
      <c r="AF33" s="238">
        <f t="shared" si="9"/>
        <v>0</v>
      </c>
      <c r="AG33" s="238">
        <f t="shared" si="9"/>
        <v>0</v>
      </c>
      <c r="AH33" s="238">
        <f t="shared" si="9"/>
        <v>0</v>
      </c>
      <c r="AI33" s="238">
        <f t="shared" si="9"/>
        <v>0</v>
      </c>
      <c r="AJ33" s="238">
        <f t="shared" si="9"/>
        <v>0</v>
      </c>
      <c r="AK33" s="238">
        <f t="shared" si="9"/>
        <v>0</v>
      </c>
      <c r="AL33" s="238">
        <f t="shared" si="9"/>
        <v>0</v>
      </c>
      <c r="AM33" s="238">
        <f t="shared" si="9"/>
        <v>0.6200000000000001</v>
      </c>
      <c r="AN33" s="238">
        <f t="shared" si="9"/>
        <v>0</v>
      </c>
      <c r="AO33" s="238">
        <f t="shared" si="9"/>
        <v>0</v>
      </c>
      <c r="AP33" s="238">
        <f t="shared" si="9"/>
        <v>0</v>
      </c>
      <c r="AQ33" s="238">
        <f t="shared" si="9"/>
        <v>0</v>
      </c>
      <c r="AR33" s="238">
        <f t="shared" si="9"/>
        <v>0.22400000000000003</v>
      </c>
      <c r="AS33" s="238">
        <f t="shared" si="9"/>
        <v>0</v>
      </c>
      <c r="AT33" s="238">
        <f t="shared" si="9"/>
        <v>0</v>
      </c>
      <c r="AU33" s="238">
        <f t="shared" si="9"/>
        <v>0.8440000000000001</v>
      </c>
    </row>
    <row r="34" spans="2:47" ht="12.75" hidden="1">
      <c r="B34" s="33" t="s">
        <v>853</v>
      </c>
      <c r="C34" s="190" t="s">
        <v>841</v>
      </c>
      <c r="D34" s="232">
        <v>-0.001</v>
      </c>
      <c r="E34" s="171"/>
      <c r="F34" s="171"/>
      <c r="G34" s="155">
        <v>-0.001</v>
      </c>
      <c r="H34" s="91">
        <v>-0.001</v>
      </c>
      <c r="I34" s="13">
        <v>0</v>
      </c>
      <c r="J34" s="13">
        <v>0</v>
      </c>
      <c r="K34" s="13">
        <v>0</v>
      </c>
      <c r="L34" s="13">
        <v>0</v>
      </c>
      <c r="M34" s="13">
        <v>-0.00014285714285714287</v>
      </c>
      <c r="N34" s="13">
        <v>-0.00014285714285714287</v>
      </c>
      <c r="O34" s="13">
        <v>-0.00014285714285714287</v>
      </c>
      <c r="P34" s="13">
        <v>-0.00014285714285714287</v>
      </c>
      <c r="Q34" s="13">
        <v>-0.00014285714285714287</v>
      </c>
      <c r="R34" s="13">
        <v>-0.00014285714285714287</v>
      </c>
      <c r="S34" s="13">
        <v>-0.00014285714285714287</v>
      </c>
      <c r="T34" s="5">
        <f aca="true" t="shared" si="10" ref="T34:T46">SUM(H34:N34)</f>
        <v>-0.0012857142857142859</v>
      </c>
      <c r="V34" s="36"/>
      <c r="W34" s="36"/>
      <c r="X34" s="36"/>
      <c r="Y34" s="36"/>
      <c r="Z34" s="36">
        <v>-0.001</v>
      </c>
      <c r="AA34" s="36">
        <f t="shared" si="1"/>
        <v>0</v>
      </c>
      <c r="AB34" s="37"/>
      <c r="AC34" s="37">
        <f t="shared" si="2"/>
        <v>-0.001</v>
      </c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>
        <f t="shared" si="3"/>
        <v>0</v>
      </c>
    </row>
    <row r="35" spans="2:47" ht="12.75" hidden="1">
      <c r="B35" s="33" t="s">
        <v>843</v>
      </c>
      <c r="C35" s="190" t="s">
        <v>842</v>
      </c>
      <c r="D35" s="232">
        <v>0.005</v>
      </c>
      <c r="E35" s="171"/>
      <c r="F35" s="171"/>
      <c r="G35" s="155">
        <v>0.004</v>
      </c>
      <c r="H35" s="91">
        <v>0.004</v>
      </c>
      <c r="I35" s="13">
        <v>0</v>
      </c>
      <c r="J35" s="13">
        <v>0</v>
      </c>
      <c r="K35" s="13">
        <v>0</v>
      </c>
      <c r="L35" s="13">
        <v>0</v>
      </c>
      <c r="M35" s="13">
        <v>-0.00014285714285714287</v>
      </c>
      <c r="N35" s="13">
        <v>-0.00014285714285714287</v>
      </c>
      <c r="O35" s="13">
        <v>-0.00014285714285714287</v>
      </c>
      <c r="P35" s="13">
        <v>-0.00014285714285714287</v>
      </c>
      <c r="Q35" s="13">
        <v>0.001</v>
      </c>
      <c r="R35" s="13">
        <v>0.001</v>
      </c>
      <c r="S35" s="13">
        <v>0.001</v>
      </c>
      <c r="T35" s="5">
        <f t="shared" si="10"/>
        <v>0.0037142857142857142</v>
      </c>
      <c r="V35" s="36"/>
      <c r="W35" s="36"/>
      <c r="X35" s="36"/>
      <c r="Y35" s="36"/>
      <c r="Z35" s="36"/>
      <c r="AA35" s="36">
        <f t="shared" si="1"/>
        <v>0.005</v>
      </c>
      <c r="AB35" s="37"/>
      <c r="AC35" s="37">
        <f t="shared" si="2"/>
        <v>0.005</v>
      </c>
      <c r="AE35" s="37"/>
      <c r="AF35" s="37"/>
      <c r="AG35" s="37"/>
      <c r="AH35" s="37"/>
      <c r="AI35" s="37"/>
      <c r="AJ35" s="37"/>
      <c r="AK35" s="37"/>
      <c r="AL35" s="37"/>
      <c r="AM35" s="37">
        <v>0.005</v>
      </c>
      <c r="AN35" s="37"/>
      <c r="AO35" s="37"/>
      <c r="AP35" s="37"/>
      <c r="AQ35" s="37"/>
      <c r="AR35" s="37"/>
      <c r="AS35" s="37"/>
      <c r="AT35" s="37"/>
      <c r="AU35" s="37">
        <f t="shared" si="3"/>
        <v>0.005</v>
      </c>
    </row>
    <row r="36" spans="2:47" ht="12.75" hidden="1">
      <c r="B36" s="33" t="s">
        <v>844</v>
      </c>
      <c r="C36" s="190" t="s">
        <v>1299</v>
      </c>
      <c r="D36" s="232">
        <v>0.011</v>
      </c>
      <c r="E36" s="171"/>
      <c r="F36" s="171"/>
      <c r="G36" s="155">
        <v>0.008</v>
      </c>
      <c r="H36" s="91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0.0015714285714285713</v>
      </c>
      <c r="N36" s="13">
        <v>0.0015714285714285713</v>
      </c>
      <c r="O36" s="13">
        <v>0.0015714285714285713</v>
      </c>
      <c r="P36" s="13">
        <v>0.0015714285714285713</v>
      </c>
      <c r="Q36" s="13">
        <v>0.0015714285714285713</v>
      </c>
      <c r="R36" s="13">
        <v>0.0015714285714285713</v>
      </c>
      <c r="S36" s="13">
        <v>0.0015714285714285713</v>
      </c>
      <c r="T36" s="5">
        <f t="shared" si="10"/>
        <v>0.0031428571428571426</v>
      </c>
      <c r="V36" s="36"/>
      <c r="W36" s="36"/>
      <c r="X36" s="36"/>
      <c r="Y36" s="36"/>
      <c r="Z36" s="36">
        <v>0.006</v>
      </c>
      <c r="AA36" s="36">
        <f t="shared" si="1"/>
        <v>0.005</v>
      </c>
      <c r="AB36" s="37"/>
      <c r="AC36" s="37">
        <f t="shared" si="2"/>
        <v>0.011</v>
      </c>
      <c r="AE36" s="37"/>
      <c r="AF36" s="37"/>
      <c r="AG36" s="37"/>
      <c r="AH36" s="37"/>
      <c r="AI36" s="37"/>
      <c r="AJ36" s="37"/>
      <c r="AK36" s="37"/>
      <c r="AL36" s="37"/>
      <c r="AM36" s="37">
        <v>0.005</v>
      </c>
      <c r="AN36" s="37"/>
      <c r="AO36" s="37"/>
      <c r="AP36" s="37"/>
      <c r="AQ36" s="37"/>
      <c r="AR36" s="37"/>
      <c r="AS36" s="37"/>
      <c r="AT36" s="37"/>
      <c r="AU36" s="37">
        <f t="shared" si="3"/>
        <v>0.005</v>
      </c>
    </row>
    <row r="37" spans="2:47" ht="12.75" hidden="1">
      <c r="B37" s="33" t="s">
        <v>1536</v>
      </c>
      <c r="C37" s="190" t="s">
        <v>1300</v>
      </c>
      <c r="D37" s="232">
        <v>0.111</v>
      </c>
      <c r="E37" s="171"/>
      <c r="F37" s="171"/>
      <c r="G37" s="155">
        <v>0.096</v>
      </c>
      <c r="H37" s="91">
        <v>0.066</v>
      </c>
      <c r="I37" s="13">
        <v>0</v>
      </c>
      <c r="J37" s="13">
        <v>0</v>
      </c>
      <c r="K37" s="13">
        <v>0</v>
      </c>
      <c r="L37" s="13">
        <v>0</v>
      </c>
      <c r="M37" s="13">
        <v>0.006</v>
      </c>
      <c r="N37" s="13">
        <v>0.006</v>
      </c>
      <c r="O37" s="13">
        <v>0.006</v>
      </c>
      <c r="P37" s="13">
        <v>0.006</v>
      </c>
      <c r="Q37" s="13">
        <v>0.006</v>
      </c>
      <c r="R37" s="13">
        <v>0.006</v>
      </c>
      <c r="S37" s="13">
        <v>0.006</v>
      </c>
      <c r="T37" s="5">
        <f t="shared" si="10"/>
        <v>0.07800000000000001</v>
      </c>
      <c r="V37" s="36"/>
      <c r="W37" s="36"/>
      <c r="X37" s="36"/>
      <c r="Y37" s="36"/>
      <c r="Z37" s="36">
        <v>0.015</v>
      </c>
      <c r="AA37" s="36">
        <f t="shared" si="1"/>
        <v>0.096</v>
      </c>
      <c r="AB37" s="37"/>
      <c r="AC37" s="37">
        <f t="shared" si="2"/>
        <v>0.111</v>
      </c>
      <c r="AE37" s="37"/>
      <c r="AF37" s="37"/>
      <c r="AG37" s="37"/>
      <c r="AH37" s="37"/>
      <c r="AI37" s="37"/>
      <c r="AJ37" s="37"/>
      <c r="AK37" s="37"/>
      <c r="AL37" s="37"/>
      <c r="AM37" s="37">
        <v>0.096</v>
      </c>
      <c r="AN37" s="37"/>
      <c r="AO37" s="37"/>
      <c r="AP37" s="37"/>
      <c r="AQ37" s="37"/>
      <c r="AR37" s="37"/>
      <c r="AS37" s="37"/>
      <c r="AT37" s="37"/>
      <c r="AU37" s="37">
        <f t="shared" si="3"/>
        <v>0.096</v>
      </c>
    </row>
    <row r="38" spans="2:47" ht="12.75" hidden="1">
      <c r="B38" s="33" t="s">
        <v>845</v>
      </c>
      <c r="C38" s="190" t="s">
        <v>1301</v>
      </c>
      <c r="D38" s="232">
        <v>0</v>
      </c>
      <c r="E38" s="171"/>
      <c r="F38" s="171"/>
      <c r="G38" s="155"/>
      <c r="H38" s="91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0.006</v>
      </c>
      <c r="N38" s="13">
        <v>0.006</v>
      </c>
      <c r="O38" s="13">
        <v>0.006</v>
      </c>
      <c r="P38" s="13">
        <v>0.006</v>
      </c>
      <c r="Q38" s="13">
        <v>0.006</v>
      </c>
      <c r="R38" s="13">
        <v>0.006</v>
      </c>
      <c r="S38" s="13">
        <v>0.006</v>
      </c>
      <c r="T38" s="5">
        <f t="shared" si="10"/>
        <v>0.012</v>
      </c>
      <c r="V38" s="36"/>
      <c r="W38" s="36"/>
      <c r="X38" s="36"/>
      <c r="Y38" s="36"/>
      <c r="Z38" s="36"/>
      <c r="AA38" s="36">
        <f t="shared" si="1"/>
        <v>0</v>
      </c>
      <c r="AB38" s="37"/>
      <c r="AC38" s="37">
        <f t="shared" si="2"/>
        <v>0</v>
      </c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>
        <f t="shared" si="3"/>
        <v>0</v>
      </c>
    </row>
    <row r="39" spans="2:47" ht="12.75" hidden="1">
      <c r="B39" s="33" t="s">
        <v>846</v>
      </c>
      <c r="C39" s="190" t="s">
        <v>1302</v>
      </c>
      <c r="D39" s="232">
        <v>0.501</v>
      </c>
      <c r="E39" s="171"/>
      <c r="F39" s="171"/>
      <c r="G39" s="155">
        <v>0.311</v>
      </c>
      <c r="H39" s="91">
        <v>0.202</v>
      </c>
      <c r="I39" s="13">
        <v>0</v>
      </c>
      <c r="J39" s="13">
        <v>0</v>
      </c>
      <c r="K39" s="13">
        <v>0</v>
      </c>
      <c r="L39" s="13">
        <v>0</v>
      </c>
      <c r="M39" s="13">
        <v>0.006</v>
      </c>
      <c r="N39" s="13">
        <v>0.006</v>
      </c>
      <c r="O39" s="13">
        <v>0.006</v>
      </c>
      <c r="P39" s="13">
        <v>0.006</v>
      </c>
      <c r="Q39" s="13">
        <v>0.006</v>
      </c>
      <c r="R39" s="13">
        <v>0.006</v>
      </c>
      <c r="S39" s="13">
        <v>0.006</v>
      </c>
      <c r="T39" s="5">
        <f t="shared" si="10"/>
        <v>0.21400000000000002</v>
      </c>
      <c r="V39" s="36"/>
      <c r="W39" s="36"/>
      <c r="X39" s="36"/>
      <c r="Y39" s="36"/>
      <c r="Z39" s="36">
        <v>0.341</v>
      </c>
      <c r="AA39" s="36">
        <f t="shared" si="1"/>
        <v>0.16</v>
      </c>
      <c r="AB39" s="37"/>
      <c r="AC39" s="37">
        <f t="shared" si="2"/>
        <v>0.501</v>
      </c>
      <c r="AE39" s="37"/>
      <c r="AF39" s="37"/>
      <c r="AG39" s="37"/>
      <c r="AH39" s="37"/>
      <c r="AI39" s="37"/>
      <c r="AJ39" s="37"/>
      <c r="AK39" s="37"/>
      <c r="AL39" s="37"/>
      <c r="AM39" s="37">
        <v>0.091</v>
      </c>
      <c r="AN39" s="37"/>
      <c r="AO39" s="37"/>
      <c r="AP39" s="37"/>
      <c r="AQ39" s="37"/>
      <c r="AR39" s="37">
        <v>0.069</v>
      </c>
      <c r="AS39" s="37"/>
      <c r="AT39" s="37"/>
      <c r="AU39" s="37">
        <f t="shared" si="3"/>
        <v>0.16</v>
      </c>
    </row>
    <row r="40" spans="2:47" ht="12.75" hidden="1">
      <c r="B40" s="33" t="s">
        <v>847</v>
      </c>
      <c r="C40" s="190" t="s">
        <v>1303</v>
      </c>
      <c r="D40" s="232">
        <v>0.348</v>
      </c>
      <c r="E40" s="171"/>
      <c r="F40" s="171"/>
      <c r="G40" s="155">
        <v>0.336</v>
      </c>
      <c r="H40" s="91">
        <v>0.332</v>
      </c>
      <c r="I40" s="13">
        <v>0</v>
      </c>
      <c r="J40" s="13">
        <v>0</v>
      </c>
      <c r="K40" s="13">
        <v>0</v>
      </c>
      <c r="L40" s="13">
        <v>0</v>
      </c>
      <c r="M40" s="13">
        <v>0.006</v>
      </c>
      <c r="N40" s="13">
        <v>0.006</v>
      </c>
      <c r="O40" s="13">
        <v>0.006</v>
      </c>
      <c r="P40" s="13">
        <v>0.006</v>
      </c>
      <c r="Q40" s="13">
        <v>0.006</v>
      </c>
      <c r="R40" s="13">
        <v>0.006</v>
      </c>
      <c r="S40" s="13">
        <v>0.006</v>
      </c>
      <c r="T40" s="5">
        <f t="shared" si="10"/>
        <v>0.34400000000000003</v>
      </c>
      <c r="V40" s="36"/>
      <c r="W40" s="36"/>
      <c r="X40" s="36"/>
      <c r="Y40" s="36"/>
      <c r="Z40" s="36">
        <v>0.271</v>
      </c>
      <c r="AA40" s="36">
        <f t="shared" si="1"/>
        <v>0.077</v>
      </c>
      <c r="AB40" s="37"/>
      <c r="AC40" s="37">
        <f t="shared" si="2"/>
        <v>0.34800000000000003</v>
      </c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>
        <v>0.077</v>
      </c>
      <c r="AS40" s="37"/>
      <c r="AT40" s="37"/>
      <c r="AU40" s="37">
        <f t="shared" si="3"/>
        <v>0.077</v>
      </c>
    </row>
    <row r="41" spans="2:47" ht="12.75" hidden="1">
      <c r="B41" s="33" t="s">
        <v>854</v>
      </c>
      <c r="C41" s="190" t="s">
        <v>1304</v>
      </c>
      <c r="D41" s="232">
        <v>0.367</v>
      </c>
      <c r="E41" s="171"/>
      <c r="F41" s="171"/>
      <c r="G41" s="155">
        <v>0.224</v>
      </c>
      <c r="H41" s="91">
        <v>0.213</v>
      </c>
      <c r="I41" s="13">
        <v>0</v>
      </c>
      <c r="J41" s="13">
        <v>0</v>
      </c>
      <c r="K41" s="13">
        <v>0</v>
      </c>
      <c r="L41" s="13">
        <v>0</v>
      </c>
      <c r="M41" s="13">
        <v>0.006</v>
      </c>
      <c r="N41" s="13">
        <v>0.006</v>
      </c>
      <c r="O41" s="13">
        <v>0.006</v>
      </c>
      <c r="P41" s="13">
        <v>0.006</v>
      </c>
      <c r="Q41" s="13">
        <v>0.006</v>
      </c>
      <c r="R41" s="13">
        <v>0.006</v>
      </c>
      <c r="S41" s="13">
        <v>0.006</v>
      </c>
      <c r="T41" s="5">
        <f t="shared" si="10"/>
        <v>0.225</v>
      </c>
      <c r="V41" s="36"/>
      <c r="W41" s="36"/>
      <c r="X41" s="36"/>
      <c r="Y41" s="36"/>
      <c r="Z41" s="36">
        <v>0.289</v>
      </c>
      <c r="AA41" s="36">
        <f t="shared" si="1"/>
        <v>0.078</v>
      </c>
      <c r="AB41" s="37"/>
      <c r="AC41" s="37">
        <f t="shared" si="2"/>
        <v>0.367</v>
      </c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>
        <v>0.078</v>
      </c>
      <c r="AS41" s="37"/>
      <c r="AT41" s="37"/>
      <c r="AU41" s="37">
        <f t="shared" si="3"/>
        <v>0.078</v>
      </c>
    </row>
    <row r="42" spans="2:47" ht="12.75" hidden="1">
      <c r="B42" s="33" t="s">
        <v>855</v>
      </c>
      <c r="C42" s="190" t="s">
        <v>1305</v>
      </c>
      <c r="D42" s="232">
        <v>0.712</v>
      </c>
      <c r="E42" s="171"/>
      <c r="F42" s="171"/>
      <c r="G42" s="155">
        <v>0.273</v>
      </c>
      <c r="H42" s="91">
        <v>0.209</v>
      </c>
      <c r="I42" s="13">
        <v>0</v>
      </c>
      <c r="J42" s="13">
        <v>0</v>
      </c>
      <c r="K42" s="13">
        <v>0</v>
      </c>
      <c r="L42" s="13">
        <v>0</v>
      </c>
      <c r="M42" s="13">
        <v>0.006</v>
      </c>
      <c r="N42" s="13">
        <v>0.006</v>
      </c>
      <c r="O42" s="13">
        <v>0.006</v>
      </c>
      <c r="P42" s="13">
        <v>0.006</v>
      </c>
      <c r="Q42" s="13">
        <v>0.006</v>
      </c>
      <c r="R42" s="13">
        <v>0.006</v>
      </c>
      <c r="S42" s="13">
        <v>0.006</v>
      </c>
      <c r="T42" s="5">
        <f t="shared" si="10"/>
        <v>0.221</v>
      </c>
      <c r="V42" s="36"/>
      <c r="W42" s="36"/>
      <c r="X42" s="36"/>
      <c r="Y42" s="36"/>
      <c r="Z42" s="36">
        <v>0.327</v>
      </c>
      <c r="AA42" s="36">
        <f t="shared" si="1"/>
        <v>0.385</v>
      </c>
      <c r="AB42" s="37"/>
      <c r="AC42" s="37">
        <f t="shared" si="2"/>
        <v>0.712</v>
      </c>
      <c r="AE42" s="37"/>
      <c r="AF42" s="37"/>
      <c r="AG42" s="37"/>
      <c r="AH42" s="37"/>
      <c r="AI42" s="37"/>
      <c r="AJ42" s="37"/>
      <c r="AK42" s="37"/>
      <c r="AL42" s="37"/>
      <c r="AM42" s="37">
        <v>0.385</v>
      </c>
      <c r="AN42" s="37"/>
      <c r="AO42" s="37"/>
      <c r="AP42" s="37"/>
      <c r="AQ42" s="37"/>
      <c r="AR42" s="37"/>
      <c r="AS42" s="37"/>
      <c r="AT42" s="37"/>
      <c r="AU42" s="37">
        <f t="shared" si="3"/>
        <v>0.385</v>
      </c>
    </row>
    <row r="43" spans="2:47" ht="12.75" hidden="1">
      <c r="B43" s="33" t="s">
        <v>856</v>
      </c>
      <c r="C43" s="190" t="s">
        <v>1306</v>
      </c>
      <c r="D43" s="232">
        <v>0.011</v>
      </c>
      <c r="E43" s="171"/>
      <c r="F43" s="171"/>
      <c r="G43" s="155">
        <v>0.011</v>
      </c>
      <c r="H43" s="91">
        <v>0.011</v>
      </c>
      <c r="I43" s="13">
        <v>0</v>
      </c>
      <c r="J43" s="13">
        <v>0</v>
      </c>
      <c r="K43" s="13">
        <v>0</v>
      </c>
      <c r="L43" s="13">
        <v>0</v>
      </c>
      <c r="M43" s="13">
        <v>0.006</v>
      </c>
      <c r="N43" s="13">
        <v>0.006</v>
      </c>
      <c r="O43" s="13">
        <v>0.006</v>
      </c>
      <c r="P43" s="13">
        <v>0.006</v>
      </c>
      <c r="Q43" s="13">
        <v>0.006</v>
      </c>
      <c r="R43" s="13">
        <v>0.006</v>
      </c>
      <c r="S43" s="13">
        <v>0.006</v>
      </c>
      <c r="T43" s="5">
        <f t="shared" si="10"/>
        <v>0.023</v>
      </c>
      <c r="V43" s="36"/>
      <c r="W43" s="36"/>
      <c r="X43" s="36"/>
      <c r="Y43" s="36"/>
      <c r="Z43" s="36">
        <v>0.011</v>
      </c>
      <c r="AA43" s="36">
        <f t="shared" si="1"/>
        <v>0</v>
      </c>
      <c r="AB43" s="37"/>
      <c r="AC43" s="37">
        <f t="shared" si="2"/>
        <v>0.011</v>
      </c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>
        <f t="shared" si="3"/>
        <v>0</v>
      </c>
    </row>
    <row r="44" spans="2:47" ht="12.75" hidden="1">
      <c r="B44" s="33" t="s">
        <v>857</v>
      </c>
      <c r="C44" s="190" t="s">
        <v>1307</v>
      </c>
      <c r="D44" s="232">
        <v>0.038</v>
      </c>
      <c r="E44" s="171"/>
      <c r="F44" s="171"/>
      <c r="G44" s="155">
        <v>0.019</v>
      </c>
      <c r="H44" s="91">
        <v>0.019</v>
      </c>
      <c r="I44" s="13">
        <v>0</v>
      </c>
      <c r="J44" s="13">
        <v>0</v>
      </c>
      <c r="K44" s="13">
        <v>0</v>
      </c>
      <c r="L44" s="13">
        <v>0</v>
      </c>
      <c r="M44" s="13">
        <v>0.006</v>
      </c>
      <c r="N44" s="13">
        <v>0.006</v>
      </c>
      <c r="O44" s="13">
        <v>0.006</v>
      </c>
      <c r="P44" s="13">
        <v>0.006</v>
      </c>
      <c r="Q44" s="13">
        <v>0.006</v>
      </c>
      <c r="R44" s="13">
        <v>0.006</v>
      </c>
      <c r="S44" s="13">
        <v>0.006</v>
      </c>
      <c r="T44" s="5">
        <f t="shared" si="10"/>
        <v>0.031</v>
      </c>
      <c r="V44" s="36"/>
      <c r="W44" s="36"/>
      <c r="X44" s="36"/>
      <c r="Y44" s="36"/>
      <c r="Z44" s="36">
        <v>0</v>
      </c>
      <c r="AA44" s="36">
        <f t="shared" si="1"/>
        <v>0.038</v>
      </c>
      <c r="AB44" s="37"/>
      <c r="AC44" s="37">
        <f t="shared" si="2"/>
        <v>0.038</v>
      </c>
      <c r="AE44" s="37"/>
      <c r="AF44" s="37"/>
      <c r="AG44" s="37"/>
      <c r="AH44" s="37"/>
      <c r="AI44" s="37"/>
      <c r="AJ44" s="37"/>
      <c r="AK44" s="37"/>
      <c r="AL44" s="37"/>
      <c r="AM44" s="37">
        <v>0.038</v>
      </c>
      <c r="AN44" s="37"/>
      <c r="AO44" s="37"/>
      <c r="AP44" s="37"/>
      <c r="AQ44" s="37"/>
      <c r="AR44" s="37"/>
      <c r="AS44" s="37"/>
      <c r="AT44" s="37"/>
      <c r="AU44" s="37">
        <f t="shared" si="3"/>
        <v>0.038</v>
      </c>
    </row>
    <row r="45" spans="2:47" ht="12.75" hidden="1">
      <c r="B45" s="33" t="s">
        <v>1534</v>
      </c>
      <c r="C45" s="157" t="s">
        <v>1308</v>
      </c>
      <c r="D45" s="232">
        <v>0.115</v>
      </c>
      <c r="E45" s="171"/>
      <c r="F45" s="171"/>
      <c r="G45" s="155">
        <v>0.006</v>
      </c>
      <c r="H45" s="91">
        <v>0.004</v>
      </c>
      <c r="I45" s="13">
        <v>0</v>
      </c>
      <c r="J45" s="13">
        <v>0</v>
      </c>
      <c r="K45" s="13">
        <v>0</v>
      </c>
      <c r="L45" s="13">
        <v>0</v>
      </c>
      <c r="M45" s="13">
        <v>0.006</v>
      </c>
      <c r="N45" s="13">
        <v>0.006</v>
      </c>
      <c r="O45" s="13">
        <v>0.006</v>
      </c>
      <c r="P45" s="13">
        <v>0.006</v>
      </c>
      <c r="Q45" s="13">
        <v>0.006</v>
      </c>
      <c r="R45" s="13">
        <v>0.006</v>
      </c>
      <c r="S45" s="13">
        <v>0.006</v>
      </c>
      <c r="T45" s="5">
        <f t="shared" si="10"/>
        <v>0.016</v>
      </c>
      <c r="V45" s="36"/>
      <c r="W45" s="36"/>
      <c r="X45" s="36"/>
      <c r="Y45" s="36"/>
      <c r="Z45" s="36">
        <v>0.115</v>
      </c>
      <c r="AA45" s="36">
        <f t="shared" si="1"/>
        <v>0</v>
      </c>
      <c r="AB45" s="37"/>
      <c r="AC45" s="37">
        <f t="shared" si="2"/>
        <v>0.115</v>
      </c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>
        <f t="shared" si="3"/>
        <v>0</v>
      </c>
    </row>
    <row r="46" spans="2:47" ht="12.75" hidden="1">
      <c r="B46" s="33" t="s">
        <v>1535</v>
      </c>
      <c r="C46" s="190" t="s">
        <v>1309</v>
      </c>
      <c r="D46" s="232">
        <v>0.001</v>
      </c>
      <c r="E46" s="171"/>
      <c r="F46" s="171"/>
      <c r="G46" s="155">
        <v>0.001</v>
      </c>
      <c r="H46" s="91">
        <v>0.001</v>
      </c>
      <c r="I46" s="13">
        <v>0</v>
      </c>
      <c r="J46" s="13">
        <v>0</v>
      </c>
      <c r="K46" s="13">
        <v>0</v>
      </c>
      <c r="L46" s="13">
        <v>0</v>
      </c>
      <c r="M46" s="13">
        <v>0.006</v>
      </c>
      <c r="N46" s="13">
        <v>0.006</v>
      </c>
      <c r="O46" s="13">
        <v>0.006</v>
      </c>
      <c r="P46" s="13">
        <v>0.006</v>
      </c>
      <c r="Q46" s="13">
        <v>0.006</v>
      </c>
      <c r="R46" s="13">
        <v>0.006</v>
      </c>
      <c r="S46" s="13">
        <v>0.006</v>
      </c>
      <c r="T46" s="5">
        <f t="shared" si="10"/>
        <v>0.013000000000000001</v>
      </c>
      <c r="V46" s="36"/>
      <c r="W46" s="36"/>
      <c r="X46" s="36"/>
      <c r="Y46" s="36"/>
      <c r="Z46" s="36">
        <v>0.001</v>
      </c>
      <c r="AA46" s="36">
        <f t="shared" si="1"/>
        <v>0</v>
      </c>
      <c r="AB46" s="37"/>
      <c r="AC46" s="37">
        <f t="shared" si="2"/>
        <v>0.001</v>
      </c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>
        <f t="shared" si="3"/>
        <v>0</v>
      </c>
    </row>
    <row r="47" spans="2:47" ht="12.75">
      <c r="B47" s="252" t="s">
        <v>1460</v>
      </c>
      <c r="C47" s="190" t="s">
        <v>1310</v>
      </c>
      <c r="D47" s="232">
        <f>SUM(D48:D50)</f>
        <v>0.99</v>
      </c>
      <c r="E47" s="171"/>
      <c r="F47" s="171"/>
      <c r="G47" s="232">
        <f>SUM(G48:G50)</f>
        <v>0.533</v>
      </c>
      <c r="H47" s="234">
        <f aca="true" t="shared" si="11" ref="H47:AU47">SUM(H48:H50)</f>
        <v>0.399</v>
      </c>
      <c r="I47" s="235">
        <f t="shared" si="11"/>
        <v>0</v>
      </c>
      <c r="J47" s="235">
        <f t="shared" si="11"/>
        <v>0</v>
      </c>
      <c r="K47" s="235">
        <f aca="true" t="shared" si="12" ref="K47:T47">SUM(K48:K50)</f>
        <v>0</v>
      </c>
      <c r="L47" s="235">
        <f t="shared" si="12"/>
        <v>0</v>
      </c>
      <c r="M47" s="235">
        <f t="shared" si="12"/>
        <v>0.08</v>
      </c>
      <c r="N47" s="235">
        <f t="shared" si="12"/>
        <v>0.08</v>
      </c>
      <c r="O47" s="235">
        <f t="shared" si="12"/>
        <v>0.08</v>
      </c>
      <c r="P47" s="235">
        <f t="shared" si="12"/>
        <v>0.08</v>
      </c>
      <c r="Q47" s="235">
        <f t="shared" si="12"/>
        <v>0.08</v>
      </c>
      <c r="R47" s="235">
        <f t="shared" si="12"/>
        <v>0.08</v>
      </c>
      <c r="S47" s="235">
        <f t="shared" si="12"/>
        <v>0.08</v>
      </c>
      <c r="T47" s="232">
        <f t="shared" si="12"/>
        <v>0.559</v>
      </c>
      <c r="U47" s="235"/>
      <c r="V47" s="238">
        <f t="shared" si="11"/>
        <v>0</v>
      </c>
      <c r="W47" s="238">
        <f t="shared" si="11"/>
        <v>0</v>
      </c>
      <c r="X47" s="238">
        <f t="shared" si="11"/>
        <v>0</v>
      </c>
      <c r="Y47" s="238">
        <f t="shared" si="11"/>
        <v>0</v>
      </c>
      <c r="Z47" s="238">
        <f t="shared" si="11"/>
        <v>0.34500000000000003</v>
      </c>
      <c r="AA47" s="238">
        <f t="shared" si="11"/>
        <v>0.645</v>
      </c>
      <c r="AB47" s="238">
        <f t="shared" si="11"/>
        <v>0</v>
      </c>
      <c r="AC47" s="238">
        <f t="shared" si="11"/>
        <v>0.9900000000000001</v>
      </c>
      <c r="AD47" s="235"/>
      <c r="AE47" s="238">
        <f t="shared" si="11"/>
        <v>0</v>
      </c>
      <c r="AF47" s="238">
        <f t="shared" si="11"/>
        <v>0</v>
      </c>
      <c r="AG47" s="238">
        <f t="shared" si="11"/>
        <v>0</v>
      </c>
      <c r="AH47" s="238">
        <f t="shared" si="11"/>
        <v>0</v>
      </c>
      <c r="AI47" s="238">
        <f t="shared" si="11"/>
        <v>0</v>
      </c>
      <c r="AJ47" s="238">
        <f t="shared" si="11"/>
        <v>0</v>
      </c>
      <c r="AK47" s="238">
        <f t="shared" si="11"/>
        <v>0</v>
      </c>
      <c r="AL47" s="238">
        <f t="shared" si="11"/>
        <v>0</v>
      </c>
      <c r="AM47" s="238">
        <f>SUM(AM48:AM50)</f>
        <v>0.645</v>
      </c>
      <c r="AN47" s="238">
        <f t="shared" si="11"/>
        <v>0</v>
      </c>
      <c r="AO47" s="238">
        <f t="shared" si="11"/>
        <v>0</v>
      </c>
      <c r="AP47" s="238">
        <f t="shared" si="11"/>
        <v>0</v>
      </c>
      <c r="AQ47" s="238">
        <f t="shared" si="11"/>
        <v>0</v>
      </c>
      <c r="AR47" s="238">
        <f t="shared" si="11"/>
        <v>0</v>
      </c>
      <c r="AS47" s="238">
        <f t="shared" si="11"/>
        <v>0</v>
      </c>
      <c r="AT47" s="238">
        <f t="shared" si="11"/>
        <v>0</v>
      </c>
      <c r="AU47" s="238">
        <f t="shared" si="11"/>
        <v>0.645</v>
      </c>
    </row>
    <row r="48" spans="2:47" ht="12.75" hidden="1">
      <c r="B48" s="33" t="s">
        <v>1537</v>
      </c>
      <c r="C48" s="190" t="s">
        <v>1311</v>
      </c>
      <c r="D48" s="232">
        <v>0.943</v>
      </c>
      <c r="E48" s="171"/>
      <c r="F48" s="171"/>
      <c r="G48" s="155">
        <v>0.53</v>
      </c>
      <c r="H48" s="91">
        <v>0.38</v>
      </c>
      <c r="I48" s="13"/>
      <c r="J48" s="13"/>
      <c r="K48" s="13"/>
      <c r="L48" s="13"/>
      <c r="M48" s="13">
        <v>0.08</v>
      </c>
      <c r="N48" s="13">
        <v>0.08</v>
      </c>
      <c r="O48" s="13">
        <v>0.08</v>
      </c>
      <c r="P48" s="13">
        <v>0.08</v>
      </c>
      <c r="Q48" s="13">
        <v>0.08</v>
      </c>
      <c r="R48" s="13">
        <v>0.08</v>
      </c>
      <c r="S48" s="13">
        <v>0.08</v>
      </c>
      <c r="T48" s="5">
        <f>SUM(H48:N48)</f>
        <v>0.54</v>
      </c>
      <c r="V48" s="36"/>
      <c r="W48" s="36"/>
      <c r="X48" s="36"/>
      <c r="Y48" s="36"/>
      <c r="Z48" s="36">
        <v>0.323</v>
      </c>
      <c r="AA48" s="36">
        <f t="shared" si="1"/>
        <v>0.62</v>
      </c>
      <c r="AB48" s="37"/>
      <c r="AC48" s="37">
        <f t="shared" si="2"/>
        <v>0.9430000000000001</v>
      </c>
      <c r="AE48" s="37"/>
      <c r="AF48" s="37"/>
      <c r="AG48" s="37"/>
      <c r="AH48" s="37"/>
      <c r="AI48" s="37"/>
      <c r="AJ48" s="37"/>
      <c r="AK48" s="37"/>
      <c r="AL48" s="37"/>
      <c r="AM48" s="37">
        <v>0.62</v>
      </c>
      <c r="AN48" s="37"/>
      <c r="AO48" s="37"/>
      <c r="AP48" s="37"/>
      <c r="AQ48" s="37"/>
      <c r="AR48" s="37"/>
      <c r="AS48" s="37"/>
      <c r="AT48" s="37"/>
      <c r="AU48" s="37">
        <f t="shared" si="3"/>
        <v>0.62</v>
      </c>
    </row>
    <row r="49" spans="3:47" ht="12.75" hidden="1">
      <c r="C49" s="190" t="s">
        <v>24</v>
      </c>
      <c r="D49" s="232">
        <v>0.025</v>
      </c>
      <c r="E49" s="171"/>
      <c r="F49" s="171"/>
      <c r="G49" s="155"/>
      <c r="H49" s="91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5"/>
      <c r="V49" s="36"/>
      <c r="W49" s="36"/>
      <c r="X49" s="36"/>
      <c r="Y49" s="36"/>
      <c r="Z49" s="36"/>
      <c r="AA49" s="36">
        <f t="shared" si="1"/>
        <v>0.025</v>
      </c>
      <c r="AB49" s="37"/>
      <c r="AC49" s="37">
        <f t="shared" si="2"/>
        <v>0.025</v>
      </c>
      <c r="AE49" s="37"/>
      <c r="AF49" s="37"/>
      <c r="AG49" s="37"/>
      <c r="AH49" s="37"/>
      <c r="AI49" s="37"/>
      <c r="AJ49" s="37"/>
      <c r="AK49" s="37"/>
      <c r="AL49" s="37"/>
      <c r="AM49" s="37">
        <v>0.025</v>
      </c>
      <c r="AN49" s="37"/>
      <c r="AO49" s="37"/>
      <c r="AP49" s="37"/>
      <c r="AQ49" s="37"/>
      <c r="AR49" s="37"/>
      <c r="AS49" s="37"/>
      <c r="AT49" s="37"/>
      <c r="AU49" s="37">
        <f t="shared" si="3"/>
        <v>0.025</v>
      </c>
    </row>
    <row r="50" spans="2:47" ht="12.75" hidden="1">
      <c r="B50" s="33" t="s">
        <v>1536</v>
      </c>
      <c r="C50" s="190" t="s">
        <v>1312</v>
      </c>
      <c r="D50" s="232">
        <v>0.022</v>
      </c>
      <c r="E50" s="171"/>
      <c r="F50" s="171"/>
      <c r="G50" s="155">
        <v>0.003</v>
      </c>
      <c r="H50" s="91">
        <v>0.019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5">
        <f>SUM(H50:N50)</f>
        <v>0.019</v>
      </c>
      <c r="V50" s="36"/>
      <c r="W50" s="36"/>
      <c r="X50" s="36"/>
      <c r="Y50" s="36"/>
      <c r="Z50" s="36">
        <v>0.022</v>
      </c>
      <c r="AA50" s="36">
        <f t="shared" si="1"/>
        <v>0</v>
      </c>
      <c r="AB50" s="37"/>
      <c r="AC50" s="37">
        <f t="shared" si="2"/>
        <v>0.022</v>
      </c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>
        <f t="shared" si="3"/>
        <v>0</v>
      </c>
    </row>
    <row r="51" spans="2:47" ht="12.75">
      <c r="B51" s="252" t="s">
        <v>1460</v>
      </c>
      <c r="C51" s="190" t="s">
        <v>1313</v>
      </c>
      <c r="D51" s="232">
        <f>SUM(D52:D53)</f>
        <v>0.02</v>
      </c>
      <c r="E51" s="171"/>
      <c r="F51" s="171"/>
      <c r="G51" s="232">
        <f>SUM(G52:G53)</f>
        <v>0.005</v>
      </c>
      <c r="H51" s="234">
        <f>SUM(H52:H53)</f>
        <v>0</v>
      </c>
      <c r="I51" s="235">
        <f>SUM(I52:I53)</f>
        <v>0</v>
      </c>
      <c r="J51" s="235">
        <f aca="true" t="shared" si="13" ref="J51:O51">SUM(J52:J53)</f>
        <v>0</v>
      </c>
      <c r="K51" s="235">
        <f t="shared" si="13"/>
        <v>0</v>
      </c>
      <c r="L51" s="235">
        <f t="shared" si="13"/>
        <v>0</v>
      </c>
      <c r="M51" s="235">
        <f t="shared" si="13"/>
        <v>0.003</v>
      </c>
      <c r="N51" s="235">
        <f t="shared" si="13"/>
        <v>0.003</v>
      </c>
      <c r="O51" s="235">
        <f t="shared" si="13"/>
        <v>0.003</v>
      </c>
      <c r="P51" s="235">
        <f>SUM(P52:P53)</f>
        <v>0.003</v>
      </c>
      <c r="Q51" s="235">
        <f>SUM(Q52:Q53)</f>
        <v>0.003</v>
      </c>
      <c r="R51" s="235">
        <f>SUM(R52:R53)</f>
        <v>0.003</v>
      </c>
      <c r="S51" s="235">
        <f>SUM(S52:S53)</f>
        <v>0.003</v>
      </c>
      <c r="T51" s="232">
        <f>SUM(T52:T53)</f>
        <v>0</v>
      </c>
      <c r="U51" s="235"/>
      <c r="V51" s="238">
        <f>SUM(V52:V53)</f>
        <v>0</v>
      </c>
      <c r="W51" s="238">
        <f aca="true" t="shared" si="14" ref="W51:AC51">SUM(W52:W53)</f>
        <v>0</v>
      </c>
      <c r="X51" s="238">
        <f t="shared" si="14"/>
        <v>0</v>
      </c>
      <c r="Y51" s="238">
        <f t="shared" si="14"/>
        <v>0</v>
      </c>
      <c r="Z51" s="238">
        <f t="shared" si="14"/>
        <v>0</v>
      </c>
      <c r="AA51" s="238">
        <f t="shared" si="14"/>
        <v>0.02</v>
      </c>
      <c r="AB51" s="238">
        <f t="shared" si="14"/>
        <v>0</v>
      </c>
      <c r="AC51" s="238">
        <f t="shared" si="14"/>
        <v>0.02</v>
      </c>
      <c r="AD51" s="235"/>
      <c r="AE51" s="238">
        <f>SUM(AE52:AE53)</f>
        <v>0</v>
      </c>
      <c r="AF51" s="238">
        <f aca="true" t="shared" si="15" ref="AF51:AU51">SUM(AF52:AF53)</f>
        <v>0</v>
      </c>
      <c r="AG51" s="238">
        <f t="shared" si="15"/>
        <v>0</v>
      </c>
      <c r="AH51" s="238">
        <f t="shared" si="15"/>
        <v>0</v>
      </c>
      <c r="AI51" s="238">
        <f t="shared" si="15"/>
        <v>0</v>
      </c>
      <c r="AJ51" s="238">
        <f t="shared" si="15"/>
        <v>0</v>
      </c>
      <c r="AK51" s="238">
        <f t="shared" si="15"/>
        <v>0</v>
      </c>
      <c r="AL51" s="238">
        <f t="shared" si="15"/>
        <v>0</v>
      </c>
      <c r="AM51" s="238">
        <f t="shared" si="15"/>
        <v>0</v>
      </c>
      <c r="AN51" s="238">
        <f t="shared" si="15"/>
        <v>0</v>
      </c>
      <c r="AO51" s="238">
        <f t="shared" si="15"/>
        <v>0</v>
      </c>
      <c r="AP51" s="238">
        <f t="shared" si="15"/>
        <v>0</v>
      </c>
      <c r="AQ51" s="238">
        <f t="shared" si="15"/>
        <v>0</v>
      </c>
      <c r="AR51" s="238">
        <f t="shared" si="15"/>
        <v>0.02</v>
      </c>
      <c r="AS51" s="238">
        <f t="shared" si="15"/>
        <v>0</v>
      </c>
      <c r="AT51" s="238">
        <f t="shared" si="15"/>
        <v>0</v>
      </c>
      <c r="AU51" s="238">
        <f t="shared" si="15"/>
        <v>0.02</v>
      </c>
    </row>
    <row r="52" spans="3:47" ht="12.75" hidden="1">
      <c r="C52" s="190" t="s">
        <v>1314</v>
      </c>
      <c r="D52" s="232">
        <v>0</v>
      </c>
      <c r="E52" s="171"/>
      <c r="F52" s="171"/>
      <c r="G52" s="155"/>
      <c r="H52" s="91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5">
        <f>SUM(H52:N52)</f>
        <v>0</v>
      </c>
      <c r="V52" s="36"/>
      <c r="W52" s="36"/>
      <c r="X52" s="36"/>
      <c r="Y52" s="36"/>
      <c r="Z52" s="36"/>
      <c r="AA52" s="36">
        <f t="shared" si="1"/>
        <v>0</v>
      </c>
      <c r="AB52" s="37"/>
      <c r="AC52" s="37">
        <f t="shared" si="2"/>
        <v>0</v>
      </c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>
        <f t="shared" si="3"/>
        <v>0</v>
      </c>
    </row>
    <row r="53" spans="3:47" ht="12.75" hidden="1">
      <c r="C53" s="190" t="s">
        <v>1329</v>
      </c>
      <c r="D53" s="232">
        <v>0.02</v>
      </c>
      <c r="E53" s="171"/>
      <c r="F53" s="171"/>
      <c r="G53" s="155">
        <v>0.005</v>
      </c>
      <c r="H53" s="91"/>
      <c r="I53" s="13"/>
      <c r="J53" s="13"/>
      <c r="K53" s="13"/>
      <c r="L53" s="13"/>
      <c r="M53" s="13">
        <v>0.003</v>
      </c>
      <c r="N53" s="13">
        <v>0.003</v>
      </c>
      <c r="O53" s="13">
        <v>0.003</v>
      </c>
      <c r="P53" s="13">
        <v>0.003</v>
      </c>
      <c r="Q53" s="13">
        <v>0.003</v>
      </c>
      <c r="R53" s="13">
        <v>0.003</v>
      </c>
      <c r="S53" s="13">
        <v>0.003</v>
      </c>
      <c r="T53" s="5"/>
      <c r="V53" s="36"/>
      <c r="W53" s="36"/>
      <c r="X53" s="36"/>
      <c r="Y53" s="36"/>
      <c r="Z53" s="36"/>
      <c r="AA53" s="36">
        <f>AU53</f>
        <v>0.02</v>
      </c>
      <c r="AB53" s="37"/>
      <c r="AC53" s="37">
        <f>SUM(V53:AB53)</f>
        <v>0.02</v>
      </c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>
        <v>0.02</v>
      </c>
      <c r="AS53" s="37"/>
      <c r="AT53" s="37"/>
      <c r="AU53" s="37">
        <f t="shared" si="3"/>
        <v>0.02</v>
      </c>
    </row>
    <row r="54" spans="2:47" ht="12.75">
      <c r="B54" s="252" t="s">
        <v>1460</v>
      </c>
      <c r="C54" s="190" t="s">
        <v>1315</v>
      </c>
      <c r="D54" s="232">
        <v>0.2</v>
      </c>
      <c r="E54" s="171"/>
      <c r="F54" s="171"/>
      <c r="G54" s="155">
        <v>0.084</v>
      </c>
      <c r="H54" s="91">
        <v>0.073</v>
      </c>
      <c r="I54" s="13">
        <v>0</v>
      </c>
      <c r="J54" s="13">
        <v>0</v>
      </c>
      <c r="K54" s="13">
        <v>0</v>
      </c>
      <c r="L54" s="13">
        <v>0</v>
      </c>
      <c r="M54" s="13">
        <v>0.018142857142857145</v>
      </c>
      <c r="N54" s="13">
        <v>0.018142857142857145</v>
      </c>
      <c r="O54" s="13">
        <v>0.018142857142857145</v>
      </c>
      <c r="P54" s="13">
        <v>0.018142857142857145</v>
      </c>
      <c r="Q54" s="13">
        <v>0.018142857142857145</v>
      </c>
      <c r="R54" s="13">
        <v>0.018142857142857145</v>
      </c>
      <c r="S54" s="13">
        <v>0.018142857142857145</v>
      </c>
      <c r="T54" s="5">
        <f>SUM(H54:N54)</f>
        <v>0.10928571428571428</v>
      </c>
      <c r="V54" s="36"/>
      <c r="W54" s="36"/>
      <c r="X54" s="36"/>
      <c r="Y54" s="36"/>
      <c r="Z54" s="36">
        <v>0.079</v>
      </c>
      <c r="AA54" s="36">
        <f t="shared" si="1"/>
        <v>0.121</v>
      </c>
      <c r="AB54" s="37"/>
      <c r="AC54" s="37">
        <f t="shared" si="2"/>
        <v>0.2</v>
      </c>
      <c r="AE54" s="37"/>
      <c r="AF54" s="37"/>
      <c r="AG54" s="37"/>
      <c r="AH54" s="37"/>
      <c r="AI54" s="37"/>
      <c r="AJ54" s="37"/>
      <c r="AK54" s="37"/>
      <c r="AL54" s="37"/>
      <c r="AM54" s="37">
        <v>0.102</v>
      </c>
      <c r="AN54" s="37">
        <v>0.019</v>
      </c>
      <c r="AO54" s="37"/>
      <c r="AP54" s="37"/>
      <c r="AQ54" s="37"/>
      <c r="AR54" s="37"/>
      <c r="AS54" s="37"/>
      <c r="AT54" s="37"/>
      <c r="AU54" s="37">
        <f t="shared" si="3"/>
        <v>0.121</v>
      </c>
    </row>
    <row r="55" spans="2:47" ht="12.75">
      <c r="B55" s="33">
        <f>D8+D19+D29+D31+D33+D47+D51+D54</f>
        <v>7.351</v>
      </c>
      <c r="C55" s="26"/>
      <c r="D55" s="26"/>
      <c r="E55" s="33"/>
      <c r="F55" s="171"/>
      <c r="G55" s="155"/>
      <c r="H55" s="52"/>
      <c r="S55" s="94"/>
      <c r="T55" s="94"/>
      <c r="V55" s="36"/>
      <c r="W55" s="36"/>
      <c r="X55" s="36"/>
      <c r="Y55" s="36"/>
      <c r="Z55" s="36"/>
      <c r="AA55" s="36">
        <f t="shared" si="1"/>
        <v>0</v>
      </c>
      <c r="AB55" s="37"/>
      <c r="AC55" s="37">
        <f>SUM(V55:AB55)</f>
        <v>0</v>
      </c>
      <c r="AE55" s="37"/>
      <c r="AF55" s="37"/>
      <c r="AG55" s="37"/>
      <c r="AH55" s="37"/>
      <c r="AI55" s="37"/>
      <c r="AJ55" s="37"/>
      <c r="AK55" s="37"/>
      <c r="AL55" s="37"/>
      <c r="AM55" s="155"/>
      <c r="AN55" s="155"/>
      <c r="AO55" s="37"/>
      <c r="AP55" s="37"/>
      <c r="AQ55" s="37"/>
      <c r="AR55" s="155"/>
      <c r="AS55" s="37"/>
      <c r="AT55" s="37"/>
      <c r="AU55" s="37">
        <f>SUM(AE55:AT55)</f>
        <v>0</v>
      </c>
    </row>
    <row r="56" spans="3:47" ht="15.75">
      <c r="C56" s="205" t="s">
        <v>1002</v>
      </c>
      <c r="D56" s="232"/>
      <c r="E56" s="171"/>
      <c r="F56" s="171"/>
      <c r="G56" s="155"/>
      <c r="H56" s="52"/>
      <c r="S56" s="94"/>
      <c r="T56" s="94"/>
      <c r="V56" s="19">
        <f>SUM(V8:V55)</f>
        <v>0</v>
      </c>
      <c r="W56" s="19">
        <f>SUM(W8:W55)</f>
        <v>0</v>
      </c>
      <c r="X56" s="19">
        <f>SUM(X8:X55)</f>
        <v>0</v>
      </c>
      <c r="Y56" s="19">
        <f>SUM(Y8:Y55)</f>
        <v>0</v>
      </c>
      <c r="Z56" s="19"/>
      <c r="AA56" s="19"/>
      <c r="AB56" s="19"/>
      <c r="AC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2:47" ht="12.75">
      <c r="B57" s="252" t="s">
        <v>1460</v>
      </c>
      <c r="C57" s="84" t="s">
        <v>1004</v>
      </c>
      <c r="D57" s="233">
        <f>SUM(D58:D78)</f>
        <v>2.85</v>
      </c>
      <c r="E57" s="200"/>
      <c r="G57" s="233">
        <f>SUM(G58:G78)</f>
        <v>0.4590000000000001</v>
      </c>
      <c r="H57" s="236">
        <f aca="true" t="shared" si="16" ref="H57:AU57">SUM(H58:H78)</f>
        <v>0.273</v>
      </c>
      <c r="I57" s="237">
        <f t="shared" si="16"/>
        <v>0</v>
      </c>
      <c r="J57" s="237">
        <f t="shared" si="16"/>
        <v>0</v>
      </c>
      <c r="K57" s="237">
        <f aca="true" t="shared" si="17" ref="K57:T57">SUM(K58:K78)</f>
        <v>0</v>
      </c>
      <c r="L57" s="237">
        <f t="shared" si="17"/>
        <v>0</v>
      </c>
      <c r="M57" s="237">
        <f t="shared" si="17"/>
        <v>0.3991428571428572</v>
      </c>
      <c r="N57" s="237">
        <f t="shared" si="17"/>
        <v>0.3991428571428572</v>
      </c>
      <c r="O57" s="237">
        <f t="shared" si="17"/>
        <v>0.3991428571428572</v>
      </c>
      <c r="P57" s="237">
        <f t="shared" si="17"/>
        <v>0.3991428571428572</v>
      </c>
      <c r="Q57" s="237">
        <f t="shared" si="17"/>
        <v>0.3991428571428572</v>
      </c>
      <c r="R57" s="237">
        <f t="shared" si="17"/>
        <v>0.3991428571428572</v>
      </c>
      <c r="S57" s="237">
        <f t="shared" si="17"/>
        <v>0.3991428571428572</v>
      </c>
      <c r="T57" s="233">
        <f t="shared" si="17"/>
        <v>1.0712857142857146</v>
      </c>
      <c r="U57" s="237"/>
      <c r="V57" s="239">
        <f t="shared" si="16"/>
        <v>0.361</v>
      </c>
      <c r="W57" s="239">
        <f t="shared" si="16"/>
        <v>0</v>
      </c>
      <c r="X57" s="239">
        <f t="shared" si="16"/>
        <v>0</v>
      </c>
      <c r="Y57" s="239">
        <f t="shared" si="16"/>
        <v>0</v>
      </c>
      <c r="Z57" s="239">
        <f t="shared" si="16"/>
        <v>0</v>
      </c>
      <c r="AA57" s="239">
        <f t="shared" si="16"/>
        <v>2.489</v>
      </c>
      <c r="AB57" s="239">
        <f t="shared" si="16"/>
        <v>0</v>
      </c>
      <c r="AC57" s="239">
        <f t="shared" si="16"/>
        <v>2.85</v>
      </c>
      <c r="AD57" s="237"/>
      <c r="AE57" s="239">
        <f t="shared" si="16"/>
        <v>0</v>
      </c>
      <c r="AF57" s="239">
        <f t="shared" si="16"/>
        <v>0.16</v>
      </c>
      <c r="AG57" s="239">
        <f t="shared" si="16"/>
        <v>0</v>
      </c>
      <c r="AH57" s="239">
        <f t="shared" si="16"/>
        <v>0</v>
      </c>
      <c r="AI57" s="239">
        <f t="shared" si="16"/>
        <v>0</v>
      </c>
      <c r="AJ57" s="239">
        <f t="shared" si="16"/>
        <v>0</v>
      </c>
      <c r="AK57" s="239">
        <f t="shared" si="16"/>
        <v>0</v>
      </c>
      <c r="AL57" s="239">
        <f t="shared" si="16"/>
        <v>0</v>
      </c>
      <c r="AM57" s="239">
        <f t="shared" si="16"/>
        <v>0</v>
      </c>
      <c r="AN57" s="239">
        <f t="shared" si="16"/>
        <v>0</v>
      </c>
      <c r="AO57" s="239">
        <f t="shared" si="16"/>
        <v>1.1540000000000001</v>
      </c>
      <c r="AP57" s="239">
        <f t="shared" si="16"/>
        <v>0</v>
      </c>
      <c r="AQ57" s="239">
        <f t="shared" si="16"/>
        <v>0</v>
      </c>
      <c r="AR57" s="239">
        <f t="shared" si="16"/>
        <v>1.1749999999999998</v>
      </c>
      <c r="AS57" s="239">
        <f t="shared" si="16"/>
        <v>0</v>
      </c>
      <c r="AT57" s="239">
        <f t="shared" si="16"/>
        <v>0</v>
      </c>
      <c r="AU57" s="239">
        <f t="shared" si="16"/>
        <v>2.489</v>
      </c>
    </row>
    <row r="58" spans="3:47" ht="12.75" hidden="1">
      <c r="C58" s="199" t="s">
        <v>859</v>
      </c>
      <c r="D58" s="233">
        <v>0</v>
      </c>
      <c r="E58" s="200"/>
      <c r="G58" s="155"/>
      <c r="H58" s="91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0.036</v>
      </c>
      <c r="N58" s="13">
        <v>0.036</v>
      </c>
      <c r="O58" s="13">
        <v>0.036</v>
      </c>
      <c r="P58" s="13">
        <v>0.036</v>
      </c>
      <c r="Q58" s="13">
        <v>0.036</v>
      </c>
      <c r="R58" s="13">
        <v>0.036</v>
      </c>
      <c r="S58" s="13">
        <v>0.036</v>
      </c>
      <c r="T58" s="5">
        <f aca="true" t="shared" si="18" ref="T58:T78">SUM(H58:N58)</f>
        <v>0.072</v>
      </c>
      <c r="V58" s="36"/>
      <c r="W58" s="36"/>
      <c r="X58" s="36"/>
      <c r="Y58" s="36"/>
      <c r="Z58" s="36"/>
      <c r="AA58" s="36">
        <f aca="true" t="shared" si="19" ref="AA58:AA131">AU58</f>
        <v>0.252</v>
      </c>
      <c r="AB58" s="37"/>
      <c r="AC58" s="37">
        <f aca="true" t="shared" si="20" ref="AC58:AC131">SUM(V58:AB58)</f>
        <v>0.252</v>
      </c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>
        <v>0.05</v>
      </c>
      <c r="AP58" s="37"/>
      <c r="AQ58" s="37"/>
      <c r="AR58" s="37">
        <f>0.16+0.042</f>
        <v>0.202</v>
      </c>
      <c r="AS58" s="37"/>
      <c r="AT58" s="37"/>
      <c r="AU58" s="37">
        <f t="shared" si="3"/>
        <v>0.252</v>
      </c>
    </row>
    <row r="59" spans="3:47" ht="12.75" hidden="1">
      <c r="C59" s="199" t="s">
        <v>860</v>
      </c>
      <c r="D59" s="233">
        <v>0</v>
      </c>
      <c r="E59" s="200"/>
      <c r="G59" s="155"/>
      <c r="H59" s="91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5">
        <f t="shared" si="18"/>
        <v>0</v>
      </c>
      <c r="V59" s="36"/>
      <c r="W59" s="36"/>
      <c r="X59" s="36"/>
      <c r="Y59" s="36"/>
      <c r="Z59" s="36"/>
      <c r="AA59" s="36">
        <f t="shared" si="19"/>
        <v>0</v>
      </c>
      <c r="AB59" s="37"/>
      <c r="AC59" s="37">
        <f t="shared" si="20"/>
        <v>0</v>
      </c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>
        <f t="shared" si="3"/>
        <v>0</v>
      </c>
    </row>
    <row r="60" spans="3:47" ht="12.75" hidden="1">
      <c r="C60" s="199" t="s">
        <v>861</v>
      </c>
      <c r="D60" s="233"/>
      <c r="E60" s="200"/>
      <c r="G60" s="155"/>
      <c r="H60" s="91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5">
        <f t="shared" si="18"/>
        <v>0</v>
      </c>
      <c r="V60" s="36"/>
      <c r="W60" s="36"/>
      <c r="X60" s="36"/>
      <c r="Y60" s="36"/>
      <c r="Z60" s="36"/>
      <c r="AA60" s="36">
        <f t="shared" si="19"/>
        <v>0</v>
      </c>
      <c r="AB60" s="37"/>
      <c r="AC60" s="37">
        <f t="shared" si="20"/>
        <v>0</v>
      </c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>
        <f t="shared" si="3"/>
        <v>0</v>
      </c>
    </row>
    <row r="61" spans="3:47" ht="12.75" hidden="1">
      <c r="C61" s="199" t="s">
        <v>862</v>
      </c>
      <c r="D61" s="233">
        <v>0.043</v>
      </c>
      <c r="E61" s="200"/>
      <c r="G61" s="155"/>
      <c r="H61" s="91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0.006142857142857143</v>
      </c>
      <c r="N61" s="13">
        <v>0.006142857142857143</v>
      </c>
      <c r="O61" s="13">
        <v>0.006142857142857143</v>
      </c>
      <c r="P61" s="13">
        <v>0.006142857142857143</v>
      </c>
      <c r="Q61" s="13">
        <v>0.006142857142857143</v>
      </c>
      <c r="R61" s="13">
        <v>0.006142857142857143</v>
      </c>
      <c r="S61" s="13">
        <v>0.006142857142857143</v>
      </c>
      <c r="T61" s="5">
        <f t="shared" si="18"/>
        <v>0.012285714285714285</v>
      </c>
      <c r="V61" s="36"/>
      <c r="W61" s="36"/>
      <c r="X61" s="36"/>
      <c r="Y61" s="36"/>
      <c r="Z61" s="36"/>
      <c r="AA61" s="36">
        <f t="shared" si="19"/>
        <v>0.043</v>
      </c>
      <c r="AB61" s="37"/>
      <c r="AC61" s="37">
        <f t="shared" si="20"/>
        <v>0.043</v>
      </c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>
        <v>0.043</v>
      </c>
      <c r="AP61" s="37"/>
      <c r="AQ61" s="37"/>
      <c r="AR61" s="37"/>
      <c r="AS61" s="37"/>
      <c r="AT61" s="37"/>
      <c r="AU61" s="37">
        <f t="shared" si="3"/>
        <v>0.043</v>
      </c>
    </row>
    <row r="62" spans="3:47" ht="12.75" hidden="1">
      <c r="C62" s="199" t="s">
        <v>863</v>
      </c>
      <c r="D62" s="233">
        <v>1.252</v>
      </c>
      <c r="E62" s="200"/>
      <c r="G62" s="155"/>
      <c r="H62" s="91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0.14285714285714285</v>
      </c>
      <c r="N62" s="13">
        <v>0.14285714285714285</v>
      </c>
      <c r="O62" s="13">
        <v>0.14285714285714285</v>
      </c>
      <c r="P62" s="13">
        <v>0.14285714285714285</v>
      </c>
      <c r="Q62" s="13">
        <v>0.14285714285714285</v>
      </c>
      <c r="R62" s="13">
        <v>0.14285714285714285</v>
      </c>
      <c r="S62" s="13">
        <v>0.14285714285714285</v>
      </c>
      <c r="T62" s="5">
        <f t="shared" si="18"/>
        <v>0.2857142857142857</v>
      </c>
      <c r="V62" s="36"/>
      <c r="W62" s="36"/>
      <c r="X62" s="36"/>
      <c r="Y62" s="36"/>
      <c r="Z62" s="36"/>
      <c r="AA62" s="36">
        <f t="shared" si="19"/>
        <v>1</v>
      </c>
      <c r="AB62" s="37"/>
      <c r="AC62" s="37">
        <f t="shared" si="20"/>
        <v>1</v>
      </c>
      <c r="AE62" s="37"/>
      <c r="AF62" s="37">
        <v>0.16</v>
      </c>
      <c r="AG62" s="37"/>
      <c r="AH62" s="37"/>
      <c r="AI62" s="37"/>
      <c r="AJ62" s="37"/>
      <c r="AK62" s="37"/>
      <c r="AL62" s="37"/>
      <c r="AM62" s="37"/>
      <c r="AN62" s="37"/>
      <c r="AO62" s="37">
        <v>0.15</v>
      </c>
      <c r="AP62" s="37"/>
      <c r="AQ62" s="37"/>
      <c r="AR62" s="37">
        <v>0.69</v>
      </c>
      <c r="AS62" s="37"/>
      <c r="AT62" s="37"/>
      <c r="AU62" s="37">
        <f t="shared" si="3"/>
        <v>1</v>
      </c>
    </row>
    <row r="63" spans="3:47" ht="12.75" hidden="1">
      <c r="C63" s="199" t="s">
        <v>871</v>
      </c>
      <c r="D63" s="233"/>
      <c r="E63" s="200"/>
      <c r="G63" s="155"/>
      <c r="H63" s="91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5">
        <f t="shared" si="18"/>
        <v>0</v>
      </c>
      <c r="V63" s="36"/>
      <c r="W63" s="36"/>
      <c r="X63" s="36"/>
      <c r="Y63" s="36"/>
      <c r="Z63" s="36"/>
      <c r="AA63" s="36">
        <f t="shared" si="19"/>
        <v>0</v>
      </c>
      <c r="AB63" s="37"/>
      <c r="AC63" s="37">
        <f t="shared" si="20"/>
        <v>0</v>
      </c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>
        <f t="shared" si="3"/>
        <v>0</v>
      </c>
    </row>
    <row r="64" spans="3:47" ht="12.75" hidden="1">
      <c r="C64" s="199" t="s">
        <v>872</v>
      </c>
      <c r="D64" s="233"/>
      <c r="E64" s="200"/>
      <c r="G64" s="155"/>
      <c r="H64" s="91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5">
        <f t="shared" si="18"/>
        <v>0</v>
      </c>
      <c r="V64" s="36"/>
      <c r="W64" s="36"/>
      <c r="X64" s="36"/>
      <c r="Y64" s="36"/>
      <c r="Z64" s="36"/>
      <c r="AA64" s="36">
        <f t="shared" si="19"/>
        <v>0</v>
      </c>
      <c r="AB64" s="37"/>
      <c r="AC64" s="37">
        <f t="shared" si="20"/>
        <v>0</v>
      </c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>
        <f t="shared" si="3"/>
        <v>0</v>
      </c>
    </row>
    <row r="65" spans="2:47" ht="12.75" hidden="1">
      <c r="B65" s="33" t="s">
        <v>1010</v>
      </c>
      <c r="C65" s="199" t="s">
        <v>912</v>
      </c>
      <c r="D65" s="233">
        <v>0.371</v>
      </c>
      <c r="E65" s="200"/>
      <c r="G65" s="155">
        <v>0.324</v>
      </c>
      <c r="H65" s="91">
        <v>0.183</v>
      </c>
      <c r="I65" s="13">
        <v>0</v>
      </c>
      <c r="J65" s="13">
        <v>0</v>
      </c>
      <c r="K65" s="13">
        <v>0</v>
      </c>
      <c r="L65" s="13">
        <v>0</v>
      </c>
      <c r="M65" s="13">
        <v>0.02228571428571429</v>
      </c>
      <c r="N65" s="13">
        <v>0.02228571428571429</v>
      </c>
      <c r="O65" s="13">
        <v>0.02228571428571429</v>
      </c>
      <c r="P65" s="13">
        <v>0.02228571428571429</v>
      </c>
      <c r="Q65" s="13">
        <v>0.02228571428571429</v>
      </c>
      <c r="R65" s="13">
        <v>0.02228571428571429</v>
      </c>
      <c r="S65" s="13">
        <v>0.02228571428571429</v>
      </c>
      <c r="T65" s="5">
        <f t="shared" si="18"/>
        <v>0.2275714285714286</v>
      </c>
      <c r="V65" s="36">
        <v>0.139</v>
      </c>
      <c r="W65" s="36"/>
      <c r="X65" s="36"/>
      <c r="Y65" s="36"/>
      <c r="Z65" s="36"/>
      <c r="AA65" s="36">
        <f t="shared" si="19"/>
        <v>0.232</v>
      </c>
      <c r="AB65" s="37"/>
      <c r="AC65" s="37">
        <f t="shared" si="20"/>
        <v>0.371</v>
      </c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>
        <v>0.227</v>
      </c>
      <c r="AP65" s="37"/>
      <c r="AQ65" s="37"/>
      <c r="AR65" s="37">
        <v>0.005</v>
      </c>
      <c r="AS65" s="37"/>
      <c r="AT65" s="37"/>
      <c r="AU65" s="37">
        <f t="shared" si="3"/>
        <v>0.232</v>
      </c>
    </row>
    <row r="66" spans="2:47" ht="12.75" hidden="1">
      <c r="B66" s="33" t="s">
        <v>1011</v>
      </c>
      <c r="C66" s="190" t="s">
        <v>913</v>
      </c>
      <c r="D66" s="233">
        <v>0.068</v>
      </c>
      <c r="E66" s="200"/>
      <c r="G66" s="155">
        <v>0.053</v>
      </c>
      <c r="H66" s="91">
        <v>0.049</v>
      </c>
      <c r="I66" s="13">
        <v>0</v>
      </c>
      <c r="J66" s="13">
        <v>0</v>
      </c>
      <c r="K66" s="13">
        <v>0</v>
      </c>
      <c r="L66" s="13">
        <v>0</v>
      </c>
      <c r="M66" s="13">
        <v>0.0027142857142857147</v>
      </c>
      <c r="N66" s="13">
        <v>0.0027142857142857147</v>
      </c>
      <c r="O66" s="13">
        <v>0.0027142857142857147</v>
      </c>
      <c r="P66" s="13">
        <v>0.0027142857142857147</v>
      </c>
      <c r="Q66" s="13">
        <v>0.0027142857142857147</v>
      </c>
      <c r="R66" s="13">
        <v>0.0027142857142857147</v>
      </c>
      <c r="S66" s="13">
        <v>0.0027142857142857147</v>
      </c>
      <c r="T66" s="5">
        <f t="shared" si="18"/>
        <v>0.05442857142857144</v>
      </c>
      <c r="V66" s="36"/>
      <c r="W66" s="36"/>
      <c r="X66" s="36"/>
      <c r="Y66" s="36"/>
      <c r="Z66" s="36"/>
      <c r="AA66" s="36">
        <f t="shared" si="19"/>
        <v>0.068</v>
      </c>
      <c r="AB66" s="37"/>
      <c r="AC66" s="37">
        <f t="shared" si="20"/>
        <v>0.068</v>
      </c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>
        <v>0.068</v>
      </c>
      <c r="AP66" s="37"/>
      <c r="AQ66" s="37"/>
      <c r="AR66" s="37"/>
      <c r="AS66" s="37"/>
      <c r="AT66" s="37"/>
      <c r="AU66" s="37">
        <f t="shared" si="3"/>
        <v>0.068</v>
      </c>
    </row>
    <row r="67" spans="3:47" ht="12.75" hidden="1">
      <c r="C67" s="190" t="s">
        <v>914</v>
      </c>
      <c r="D67" s="233">
        <v>0</v>
      </c>
      <c r="E67" s="200"/>
      <c r="G67" s="155"/>
      <c r="H67" s="91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5">
        <f t="shared" si="18"/>
        <v>0</v>
      </c>
      <c r="V67" s="36"/>
      <c r="W67" s="36"/>
      <c r="X67" s="36"/>
      <c r="Y67" s="36"/>
      <c r="Z67" s="36"/>
      <c r="AA67" s="36">
        <f t="shared" si="19"/>
        <v>0</v>
      </c>
      <c r="AB67" s="37"/>
      <c r="AC67" s="37">
        <f t="shared" si="20"/>
        <v>0</v>
      </c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>
        <f t="shared" si="3"/>
        <v>0</v>
      </c>
    </row>
    <row r="68" spans="3:47" ht="12.75" hidden="1">
      <c r="C68" s="190" t="s">
        <v>915</v>
      </c>
      <c r="D68" s="233">
        <v>0</v>
      </c>
      <c r="E68" s="200"/>
      <c r="G68" s="155"/>
      <c r="H68" s="91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5">
        <f t="shared" si="18"/>
        <v>0</v>
      </c>
      <c r="V68" s="36"/>
      <c r="W68" s="36"/>
      <c r="X68" s="36"/>
      <c r="Y68" s="36"/>
      <c r="Z68" s="36"/>
      <c r="AA68" s="36">
        <f t="shared" si="19"/>
        <v>0</v>
      </c>
      <c r="AB68" s="37"/>
      <c r="AC68" s="37">
        <f t="shared" si="20"/>
        <v>0</v>
      </c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>
        <f t="shared" si="3"/>
        <v>0</v>
      </c>
    </row>
    <row r="69" spans="3:47" ht="12.75" hidden="1">
      <c r="C69" s="190" t="s">
        <v>916</v>
      </c>
      <c r="D69" s="233">
        <v>0</v>
      </c>
      <c r="E69" s="200"/>
      <c r="G69" s="155"/>
      <c r="H69" s="91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5">
        <f t="shared" si="18"/>
        <v>0</v>
      </c>
      <c r="V69" s="36"/>
      <c r="W69" s="36"/>
      <c r="X69" s="36"/>
      <c r="Y69" s="36"/>
      <c r="Z69" s="36"/>
      <c r="AA69" s="36">
        <f t="shared" si="19"/>
        <v>0</v>
      </c>
      <c r="AB69" s="37"/>
      <c r="AC69" s="37">
        <f t="shared" si="20"/>
        <v>0</v>
      </c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>
        <v>0</v>
      </c>
      <c r="AS69" s="37"/>
      <c r="AT69" s="37"/>
      <c r="AU69" s="37">
        <f t="shared" si="3"/>
        <v>0</v>
      </c>
    </row>
    <row r="70" spans="3:47" ht="12.75" hidden="1">
      <c r="C70" s="190" t="s">
        <v>917</v>
      </c>
      <c r="D70" s="233">
        <v>0.274</v>
      </c>
      <c r="E70" s="200"/>
      <c r="G70" s="155">
        <v>0.02</v>
      </c>
      <c r="H70" s="91">
        <v>0.001</v>
      </c>
      <c r="I70" s="13">
        <v>0</v>
      </c>
      <c r="J70" s="13">
        <v>0</v>
      </c>
      <c r="K70" s="13">
        <v>0</v>
      </c>
      <c r="L70" s="13">
        <v>0</v>
      </c>
      <c r="M70" s="13">
        <v>0.038714285714285715</v>
      </c>
      <c r="N70" s="13">
        <v>0.038714285714285715</v>
      </c>
      <c r="O70" s="13">
        <v>0.038714285714285715</v>
      </c>
      <c r="P70" s="13">
        <v>0.038714285714285715</v>
      </c>
      <c r="Q70" s="13">
        <v>0.038714285714285715</v>
      </c>
      <c r="R70" s="13">
        <v>0.038714285714285715</v>
      </c>
      <c r="S70" s="13">
        <v>0.038714285714285715</v>
      </c>
      <c r="T70" s="5">
        <f t="shared" si="18"/>
        <v>0.07842857142857143</v>
      </c>
      <c r="V70" s="36">
        <v>0.102</v>
      </c>
      <c r="W70" s="36"/>
      <c r="X70" s="36"/>
      <c r="Y70" s="36"/>
      <c r="Z70" s="36"/>
      <c r="AA70" s="36">
        <f t="shared" si="19"/>
        <v>0.172</v>
      </c>
      <c r="AB70" s="37"/>
      <c r="AC70" s="37">
        <f t="shared" si="20"/>
        <v>0.27399999999999997</v>
      </c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>
        <v>0.072</v>
      </c>
      <c r="AP70" s="37"/>
      <c r="AQ70" s="37"/>
      <c r="AR70" s="37">
        <v>0.1</v>
      </c>
      <c r="AS70" s="37"/>
      <c r="AT70" s="37"/>
      <c r="AU70" s="37">
        <f t="shared" si="3"/>
        <v>0.172</v>
      </c>
    </row>
    <row r="71" spans="3:47" ht="12.75" hidden="1">
      <c r="C71" s="190" t="s">
        <v>918</v>
      </c>
      <c r="D71" s="233">
        <v>0.12</v>
      </c>
      <c r="E71" s="200"/>
      <c r="G71" s="155">
        <v>0</v>
      </c>
      <c r="H71" s="91">
        <v>0.006</v>
      </c>
      <c r="I71" s="13">
        <v>0</v>
      </c>
      <c r="J71" s="13">
        <v>0</v>
      </c>
      <c r="K71" s="13">
        <v>0</v>
      </c>
      <c r="L71" s="13">
        <v>0</v>
      </c>
      <c r="M71" s="13">
        <v>0.016285714285714285</v>
      </c>
      <c r="N71" s="13">
        <v>0.016285714285714285</v>
      </c>
      <c r="O71" s="13">
        <v>0.016285714285714285</v>
      </c>
      <c r="P71" s="13">
        <v>0.016285714285714285</v>
      </c>
      <c r="Q71" s="13">
        <v>0.016285714285714285</v>
      </c>
      <c r="R71" s="13">
        <v>0.016285714285714285</v>
      </c>
      <c r="S71" s="13">
        <v>0.016285714285714285</v>
      </c>
      <c r="T71" s="5">
        <f t="shared" si="18"/>
        <v>0.03857142857142857</v>
      </c>
      <c r="V71" s="36"/>
      <c r="W71" s="36"/>
      <c r="X71" s="36"/>
      <c r="Y71" s="36"/>
      <c r="Z71" s="36"/>
      <c r="AA71" s="36">
        <f t="shared" si="19"/>
        <v>0.12</v>
      </c>
      <c r="AB71" s="37"/>
      <c r="AC71" s="37">
        <f t="shared" si="20"/>
        <v>0.12</v>
      </c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>
        <v>0.12</v>
      </c>
      <c r="AP71" s="37"/>
      <c r="AQ71" s="37"/>
      <c r="AR71" s="37"/>
      <c r="AS71" s="37"/>
      <c r="AT71" s="37"/>
      <c r="AU71" s="37">
        <f t="shared" si="3"/>
        <v>0.12</v>
      </c>
    </row>
    <row r="72" spans="3:47" ht="12.75" hidden="1">
      <c r="C72" s="190" t="s">
        <v>919</v>
      </c>
      <c r="D72" s="233">
        <v>0.11</v>
      </c>
      <c r="E72" s="200"/>
      <c r="G72" s="155">
        <v>0.001</v>
      </c>
      <c r="H72" s="91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0.015714285714285715</v>
      </c>
      <c r="N72" s="13">
        <v>0.015714285714285715</v>
      </c>
      <c r="O72" s="13">
        <v>0.015714285714285715</v>
      </c>
      <c r="P72" s="13">
        <v>0.015714285714285715</v>
      </c>
      <c r="Q72" s="13">
        <v>0.015714285714285715</v>
      </c>
      <c r="R72" s="13">
        <v>0.015714285714285715</v>
      </c>
      <c r="S72" s="13">
        <v>0.015714285714285715</v>
      </c>
      <c r="T72" s="5">
        <f t="shared" si="18"/>
        <v>0.03142857142857143</v>
      </c>
      <c r="V72" s="36"/>
      <c r="W72" s="36"/>
      <c r="X72" s="36"/>
      <c r="Y72" s="36"/>
      <c r="Z72" s="36"/>
      <c r="AA72" s="36">
        <f t="shared" si="19"/>
        <v>0.11</v>
      </c>
      <c r="AB72" s="37"/>
      <c r="AC72" s="37">
        <f t="shared" si="20"/>
        <v>0.11</v>
      </c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>
        <v>0.1</v>
      </c>
      <c r="AP72" s="37"/>
      <c r="AQ72" s="37"/>
      <c r="AR72" s="37">
        <v>0.01</v>
      </c>
      <c r="AS72" s="37"/>
      <c r="AT72" s="37"/>
      <c r="AU72" s="37">
        <f t="shared" si="3"/>
        <v>0.11</v>
      </c>
    </row>
    <row r="73" spans="3:47" ht="12.75" hidden="1">
      <c r="C73" s="190" t="s">
        <v>920</v>
      </c>
      <c r="D73" s="233">
        <v>0</v>
      </c>
      <c r="E73" s="200"/>
      <c r="G73" s="155"/>
      <c r="H73" s="91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5">
        <f t="shared" si="18"/>
        <v>0</v>
      </c>
      <c r="V73" s="36"/>
      <c r="W73" s="36"/>
      <c r="X73" s="36"/>
      <c r="Y73" s="36"/>
      <c r="Z73" s="36"/>
      <c r="AA73" s="36">
        <f t="shared" si="19"/>
        <v>0</v>
      </c>
      <c r="AB73" s="37"/>
      <c r="AC73" s="37">
        <f t="shared" si="20"/>
        <v>0</v>
      </c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>
        <f t="shared" si="3"/>
        <v>0</v>
      </c>
    </row>
    <row r="74" spans="2:47" ht="12.75" hidden="1">
      <c r="B74" s="33" t="s">
        <v>1012</v>
      </c>
      <c r="C74" s="190" t="s">
        <v>921</v>
      </c>
      <c r="D74" s="233">
        <v>0.29</v>
      </c>
      <c r="E74" s="200"/>
      <c r="G74" s="155">
        <v>0.018</v>
      </c>
      <c r="H74" s="91">
        <v>0.011</v>
      </c>
      <c r="I74" s="13">
        <v>0</v>
      </c>
      <c r="J74" s="13">
        <v>0</v>
      </c>
      <c r="K74" s="13">
        <v>0</v>
      </c>
      <c r="L74" s="13">
        <v>0</v>
      </c>
      <c r="M74" s="13">
        <v>0.047142857142857146</v>
      </c>
      <c r="N74" s="13">
        <v>0.047142857142857146</v>
      </c>
      <c r="O74" s="13">
        <v>0.047142857142857146</v>
      </c>
      <c r="P74" s="13">
        <v>0.047142857142857146</v>
      </c>
      <c r="Q74" s="13">
        <v>0.047142857142857146</v>
      </c>
      <c r="R74" s="13">
        <v>0.047142857142857146</v>
      </c>
      <c r="S74" s="13">
        <v>0.047142857142857146</v>
      </c>
      <c r="T74" s="5">
        <f t="shared" si="18"/>
        <v>0.10528571428571429</v>
      </c>
      <c r="V74" s="36">
        <v>0.087</v>
      </c>
      <c r="W74" s="36"/>
      <c r="X74" s="36"/>
      <c r="Y74" s="36"/>
      <c r="Z74" s="36"/>
      <c r="AA74" s="36">
        <f t="shared" si="19"/>
        <v>0.20299999999999999</v>
      </c>
      <c r="AB74" s="37"/>
      <c r="AC74" s="37">
        <f t="shared" si="20"/>
        <v>0.29</v>
      </c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>
        <v>0.15</v>
      </c>
      <c r="AP74" s="37"/>
      <c r="AQ74" s="37"/>
      <c r="AR74" s="37">
        <v>0.053</v>
      </c>
      <c r="AS74" s="37"/>
      <c r="AT74" s="37"/>
      <c r="AU74" s="37">
        <f t="shared" si="3"/>
        <v>0.20299999999999999</v>
      </c>
    </row>
    <row r="75" spans="3:47" ht="12.75" hidden="1">
      <c r="C75" s="190" t="s">
        <v>925</v>
      </c>
      <c r="D75" s="233">
        <v>0.092</v>
      </c>
      <c r="E75" s="200"/>
      <c r="G75" s="155">
        <v>0.011</v>
      </c>
      <c r="H75" s="91">
        <v>0.003</v>
      </c>
      <c r="I75" s="13">
        <v>0</v>
      </c>
      <c r="J75" s="13">
        <v>0</v>
      </c>
      <c r="K75" s="13">
        <v>0</v>
      </c>
      <c r="L75" s="13">
        <v>0</v>
      </c>
      <c r="M75" s="13">
        <v>0.009857142857142856</v>
      </c>
      <c r="N75" s="13">
        <v>0.009857142857142856</v>
      </c>
      <c r="O75" s="13">
        <v>0.009857142857142856</v>
      </c>
      <c r="P75" s="13">
        <v>0.009857142857142856</v>
      </c>
      <c r="Q75" s="13">
        <v>0.009857142857142856</v>
      </c>
      <c r="R75" s="13">
        <v>0.009857142857142856</v>
      </c>
      <c r="S75" s="13">
        <v>0.009857142857142856</v>
      </c>
      <c r="T75" s="5">
        <f t="shared" si="18"/>
        <v>0.02271428571428571</v>
      </c>
      <c r="V75" s="36">
        <v>0.02</v>
      </c>
      <c r="W75" s="36"/>
      <c r="X75" s="36"/>
      <c r="Y75" s="36"/>
      <c r="Z75" s="36"/>
      <c r="AA75" s="36">
        <f t="shared" si="19"/>
        <v>0.072</v>
      </c>
      <c r="AB75" s="37"/>
      <c r="AC75" s="37">
        <f t="shared" si="20"/>
        <v>0.092</v>
      </c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>
        <v>0.072</v>
      </c>
      <c r="AP75" s="37"/>
      <c r="AQ75" s="37"/>
      <c r="AR75" s="37"/>
      <c r="AS75" s="37"/>
      <c r="AT75" s="37"/>
      <c r="AU75" s="37">
        <f t="shared" si="3"/>
        <v>0.072</v>
      </c>
    </row>
    <row r="76" spans="3:47" ht="12.75" hidden="1">
      <c r="C76" s="190" t="s">
        <v>926</v>
      </c>
      <c r="D76" s="233">
        <v>0.207</v>
      </c>
      <c r="E76" s="200"/>
      <c r="G76" s="155">
        <v>0.016</v>
      </c>
      <c r="H76" s="91">
        <v>0.01</v>
      </c>
      <c r="I76" s="13">
        <v>0</v>
      </c>
      <c r="J76" s="13">
        <v>0</v>
      </c>
      <c r="K76" s="13">
        <v>0</v>
      </c>
      <c r="L76" s="13">
        <v>0</v>
      </c>
      <c r="M76" s="13">
        <v>0.05957142857142857</v>
      </c>
      <c r="N76" s="13">
        <v>0.05957142857142857</v>
      </c>
      <c r="O76" s="13">
        <v>0.05957142857142857</v>
      </c>
      <c r="P76" s="13">
        <v>0.05957142857142857</v>
      </c>
      <c r="Q76" s="13">
        <v>0.05957142857142857</v>
      </c>
      <c r="R76" s="13">
        <v>0.05957142857142857</v>
      </c>
      <c r="S76" s="13">
        <v>0.05957142857142857</v>
      </c>
      <c r="T76" s="5">
        <f t="shared" si="18"/>
        <v>0.12914285714285711</v>
      </c>
      <c r="V76" s="36"/>
      <c r="W76" s="36"/>
      <c r="X76" s="36"/>
      <c r="Y76" s="36"/>
      <c r="Z76" s="36"/>
      <c r="AA76" s="36">
        <f t="shared" si="19"/>
        <v>0.20700000000000002</v>
      </c>
      <c r="AB76" s="37"/>
      <c r="AC76" s="37">
        <f t="shared" si="20"/>
        <v>0.20700000000000002</v>
      </c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>
        <v>0.092</v>
      </c>
      <c r="AP76" s="37"/>
      <c r="AQ76" s="37"/>
      <c r="AR76" s="37">
        <v>0.115</v>
      </c>
      <c r="AS76" s="37"/>
      <c r="AT76" s="37"/>
      <c r="AU76" s="37">
        <f aca="true" t="shared" si="21" ref="AU76:AU152">SUM(AE76:AT76)</f>
        <v>0.20700000000000002</v>
      </c>
    </row>
    <row r="77" spans="2:47" ht="12.75" hidden="1">
      <c r="B77" s="33" t="s">
        <v>1013</v>
      </c>
      <c r="C77" s="84" t="s">
        <v>927</v>
      </c>
      <c r="D77" s="233">
        <v>0.02</v>
      </c>
      <c r="E77" s="200"/>
      <c r="G77" s="155">
        <v>0.015</v>
      </c>
      <c r="H77" s="91">
        <v>0.01</v>
      </c>
      <c r="I77" s="13">
        <v>0</v>
      </c>
      <c r="J77" s="13">
        <v>0</v>
      </c>
      <c r="K77" s="13">
        <v>0</v>
      </c>
      <c r="L77" s="13">
        <v>0</v>
      </c>
      <c r="M77" s="13">
        <v>0.0014285714285714286</v>
      </c>
      <c r="N77" s="13">
        <v>0.0014285714285714286</v>
      </c>
      <c r="O77" s="13">
        <v>0.0014285714285714286</v>
      </c>
      <c r="P77" s="13">
        <v>0.0014285714285714286</v>
      </c>
      <c r="Q77" s="13">
        <v>0.0014285714285714286</v>
      </c>
      <c r="R77" s="13">
        <v>0.0014285714285714286</v>
      </c>
      <c r="S77" s="13">
        <v>0.0014285714285714286</v>
      </c>
      <c r="T77" s="5">
        <f t="shared" si="18"/>
        <v>0.012857142857142857</v>
      </c>
      <c r="V77" s="36">
        <v>0.01</v>
      </c>
      <c r="W77" s="36"/>
      <c r="X77" s="36"/>
      <c r="Y77" s="36"/>
      <c r="Z77" s="36"/>
      <c r="AA77" s="36">
        <f t="shared" si="19"/>
        <v>0.01</v>
      </c>
      <c r="AB77" s="37"/>
      <c r="AC77" s="37">
        <f t="shared" si="20"/>
        <v>0.02</v>
      </c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>
        <v>0.01</v>
      </c>
      <c r="AP77" s="37"/>
      <c r="AQ77" s="37"/>
      <c r="AR77" s="37"/>
      <c r="AS77" s="37"/>
      <c r="AT77" s="37"/>
      <c r="AU77" s="37">
        <f t="shared" si="21"/>
        <v>0.01</v>
      </c>
    </row>
    <row r="78" spans="3:47" ht="12.75" hidden="1">
      <c r="C78" s="190" t="s">
        <v>928</v>
      </c>
      <c r="D78" s="233">
        <v>0.003</v>
      </c>
      <c r="E78" s="200"/>
      <c r="G78" s="155">
        <v>0.001</v>
      </c>
      <c r="H78" s="91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0.0004285714285714286</v>
      </c>
      <c r="N78" s="13">
        <v>0.0004285714285714286</v>
      </c>
      <c r="O78" s="13">
        <v>0.0004285714285714286</v>
      </c>
      <c r="P78" s="13">
        <v>0.0004285714285714286</v>
      </c>
      <c r="Q78" s="13">
        <v>0.0004285714285714286</v>
      </c>
      <c r="R78" s="13">
        <v>0.0004285714285714286</v>
      </c>
      <c r="S78" s="13">
        <v>0.0004285714285714286</v>
      </c>
      <c r="T78" s="5">
        <f t="shared" si="18"/>
        <v>0.0008571428571428572</v>
      </c>
      <c r="V78" s="36">
        <v>0.003</v>
      </c>
      <c r="W78" s="36"/>
      <c r="X78" s="36"/>
      <c r="Y78" s="36"/>
      <c r="Z78" s="36"/>
      <c r="AA78" s="36">
        <f t="shared" si="19"/>
        <v>0</v>
      </c>
      <c r="AB78" s="37"/>
      <c r="AC78" s="37">
        <f t="shared" si="20"/>
        <v>0.003</v>
      </c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>
        <f t="shared" si="21"/>
        <v>0</v>
      </c>
    </row>
    <row r="79" spans="2:47" ht="12.75">
      <c r="B79" s="252" t="s">
        <v>1460</v>
      </c>
      <c r="C79" s="190" t="s">
        <v>929</v>
      </c>
      <c r="D79" s="233">
        <f>SUM(D80:D103)</f>
        <v>8.945</v>
      </c>
      <c r="E79" s="200"/>
      <c r="G79" s="233">
        <f>SUM(G80:G103)</f>
        <v>1.6469999999999998</v>
      </c>
      <c r="H79" s="236">
        <f aca="true" t="shared" si="22" ref="H79:AU79">SUM(H80:H103)</f>
        <v>1.1629999999999996</v>
      </c>
      <c r="I79" s="237">
        <f t="shared" si="22"/>
        <v>0</v>
      </c>
      <c r="J79" s="237">
        <f t="shared" si="22"/>
        <v>0</v>
      </c>
      <c r="K79" s="237">
        <f aca="true" t="shared" si="23" ref="K79:T79">SUM(K80:K103)</f>
        <v>0</v>
      </c>
      <c r="L79" s="237">
        <f t="shared" si="23"/>
        <v>0</v>
      </c>
      <c r="M79" s="237">
        <f t="shared" si="23"/>
        <v>1.2105714285714284</v>
      </c>
      <c r="N79" s="237">
        <f t="shared" si="23"/>
        <v>1.2105714285714284</v>
      </c>
      <c r="O79" s="237">
        <f t="shared" si="23"/>
        <v>1.2105714285714284</v>
      </c>
      <c r="P79" s="237">
        <f t="shared" si="23"/>
        <v>1.2105714285714284</v>
      </c>
      <c r="Q79" s="237">
        <f t="shared" si="23"/>
        <v>1.2105714285714284</v>
      </c>
      <c r="R79" s="237">
        <f t="shared" si="23"/>
        <v>1.2105714285714284</v>
      </c>
      <c r="S79" s="237">
        <f t="shared" si="23"/>
        <v>1.2105714285714284</v>
      </c>
      <c r="T79" s="233">
        <f t="shared" si="23"/>
        <v>3.584142857142858</v>
      </c>
      <c r="U79" s="237"/>
      <c r="V79" s="239">
        <f t="shared" si="22"/>
        <v>0.7509999999999999</v>
      </c>
      <c r="W79" s="239">
        <f t="shared" si="22"/>
        <v>0</v>
      </c>
      <c r="X79" s="239">
        <f t="shared" si="22"/>
        <v>0</v>
      </c>
      <c r="Y79" s="239">
        <f t="shared" si="22"/>
        <v>0</v>
      </c>
      <c r="Z79" s="239">
        <f t="shared" si="22"/>
        <v>0.182</v>
      </c>
      <c r="AA79" s="239">
        <f t="shared" si="22"/>
        <v>8.012</v>
      </c>
      <c r="AB79" s="239">
        <f t="shared" si="22"/>
        <v>0</v>
      </c>
      <c r="AC79" s="239">
        <f t="shared" si="22"/>
        <v>8.945</v>
      </c>
      <c r="AD79" s="237"/>
      <c r="AE79" s="239">
        <f t="shared" si="22"/>
        <v>0</v>
      </c>
      <c r="AF79" s="239">
        <f t="shared" si="22"/>
        <v>3.739</v>
      </c>
      <c r="AG79" s="239">
        <f t="shared" si="22"/>
        <v>0</v>
      </c>
      <c r="AH79" s="239">
        <f t="shared" si="22"/>
        <v>0</v>
      </c>
      <c r="AI79" s="239">
        <f t="shared" si="22"/>
        <v>0</v>
      </c>
      <c r="AJ79" s="239">
        <f t="shared" si="22"/>
        <v>0</v>
      </c>
      <c r="AK79" s="239">
        <f t="shared" si="22"/>
        <v>0</v>
      </c>
      <c r="AL79" s="239">
        <f t="shared" si="22"/>
        <v>0</v>
      </c>
      <c r="AM79" s="239">
        <f t="shared" si="22"/>
        <v>0</v>
      </c>
      <c r="AN79" s="239">
        <f t="shared" si="22"/>
        <v>0</v>
      </c>
      <c r="AO79" s="239">
        <f t="shared" si="22"/>
        <v>0</v>
      </c>
      <c r="AP79" s="239">
        <f t="shared" si="22"/>
        <v>0</v>
      </c>
      <c r="AQ79" s="239">
        <f t="shared" si="22"/>
        <v>0</v>
      </c>
      <c r="AR79" s="239">
        <f>SUM(AR80:AR103)</f>
        <v>4.273</v>
      </c>
      <c r="AS79" s="239">
        <f t="shared" si="22"/>
        <v>0</v>
      </c>
      <c r="AT79" s="239">
        <f t="shared" si="22"/>
        <v>0</v>
      </c>
      <c r="AU79" s="239">
        <f t="shared" si="22"/>
        <v>8.012</v>
      </c>
    </row>
    <row r="80" spans="3:47" ht="12.75" hidden="1">
      <c r="C80" s="190" t="s">
        <v>930</v>
      </c>
      <c r="D80" s="233">
        <v>0.151</v>
      </c>
      <c r="E80" s="200"/>
      <c r="G80" s="155">
        <v>0.099</v>
      </c>
      <c r="H80" s="91">
        <v>0.043</v>
      </c>
      <c r="I80" s="13">
        <v>0</v>
      </c>
      <c r="J80" s="13">
        <v>0</v>
      </c>
      <c r="K80" s="13">
        <v>0</v>
      </c>
      <c r="L80" s="13">
        <v>0</v>
      </c>
      <c r="M80" s="13">
        <v>0.015428571428571429</v>
      </c>
      <c r="N80" s="13">
        <v>0.015428571428571429</v>
      </c>
      <c r="O80" s="13">
        <v>0.015428571428571429</v>
      </c>
      <c r="P80" s="13">
        <v>0.015428571428571429</v>
      </c>
      <c r="Q80" s="13">
        <v>0.015428571428571429</v>
      </c>
      <c r="R80" s="13">
        <v>0.015428571428571429</v>
      </c>
      <c r="S80" s="13">
        <v>0.015428571428571429</v>
      </c>
      <c r="T80" s="5">
        <f aca="true" t="shared" si="24" ref="T80:T93">SUM(H80:N80)</f>
        <v>0.07385714285714286</v>
      </c>
      <c r="V80" s="36"/>
      <c r="W80" s="36"/>
      <c r="X80" s="36"/>
      <c r="Y80" s="36"/>
      <c r="Z80" s="36"/>
      <c r="AA80" s="36">
        <f t="shared" si="19"/>
        <v>0.151</v>
      </c>
      <c r="AB80" s="37"/>
      <c r="AC80" s="37">
        <f t="shared" si="20"/>
        <v>0.151</v>
      </c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>
        <v>0.151</v>
      </c>
      <c r="AS80" s="37"/>
      <c r="AT80" s="37"/>
      <c r="AU80" s="37">
        <f t="shared" si="21"/>
        <v>0.151</v>
      </c>
    </row>
    <row r="81" spans="3:47" ht="12.75" hidden="1">
      <c r="C81" s="190" t="s">
        <v>931</v>
      </c>
      <c r="D81" s="233">
        <v>0.116</v>
      </c>
      <c r="E81" s="200"/>
      <c r="G81" s="155">
        <v>0.079</v>
      </c>
      <c r="H81" s="91">
        <v>0.067</v>
      </c>
      <c r="I81" s="13">
        <v>0</v>
      </c>
      <c r="J81" s="13">
        <v>0</v>
      </c>
      <c r="K81" s="13">
        <v>0</v>
      </c>
      <c r="L81" s="13">
        <v>0</v>
      </c>
      <c r="M81" s="13">
        <v>0.007</v>
      </c>
      <c r="N81" s="13">
        <v>0.007</v>
      </c>
      <c r="O81" s="13">
        <v>0.007</v>
      </c>
      <c r="P81" s="13">
        <v>0.007</v>
      </c>
      <c r="Q81" s="13">
        <v>0.007</v>
      </c>
      <c r="R81" s="13">
        <v>0.007</v>
      </c>
      <c r="S81" s="13">
        <v>0.007</v>
      </c>
      <c r="T81" s="5">
        <f t="shared" si="24"/>
        <v>0.08100000000000002</v>
      </c>
      <c r="V81" s="36"/>
      <c r="W81" s="36"/>
      <c r="X81" s="36"/>
      <c r="Y81" s="36"/>
      <c r="Z81" s="36"/>
      <c r="AA81" s="36">
        <f t="shared" si="19"/>
        <v>0.116</v>
      </c>
      <c r="AB81" s="37"/>
      <c r="AC81" s="37">
        <f t="shared" si="20"/>
        <v>0.116</v>
      </c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>
        <v>0.116</v>
      </c>
      <c r="AS81" s="37"/>
      <c r="AT81" s="37"/>
      <c r="AU81" s="37">
        <f t="shared" si="21"/>
        <v>0.116</v>
      </c>
    </row>
    <row r="82" spans="2:47" ht="12.75" hidden="1">
      <c r="B82" s="33" t="s">
        <v>1014</v>
      </c>
      <c r="C82" s="190" t="s">
        <v>932</v>
      </c>
      <c r="D82" s="233">
        <v>1.75</v>
      </c>
      <c r="E82" s="200"/>
      <c r="G82" s="155">
        <v>0.656</v>
      </c>
      <c r="H82" s="91">
        <v>0.514</v>
      </c>
      <c r="I82" s="13">
        <v>0</v>
      </c>
      <c r="J82" s="13">
        <v>0</v>
      </c>
      <c r="K82" s="13">
        <v>0</v>
      </c>
      <c r="L82" s="13">
        <v>0</v>
      </c>
      <c r="M82" s="13">
        <v>0.17657142857142857</v>
      </c>
      <c r="N82" s="13">
        <v>0.17657142857142857</v>
      </c>
      <c r="O82" s="13">
        <v>0.17657142857142857</v>
      </c>
      <c r="P82" s="13">
        <v>0.17657142857142857</v>
      </c>
      <c r="Q82" s="13">
        <v>0.17657142857142857</v>
      </c>
      <c r="R82" s="13">
        <v>0.17657142857142857</v>
      </c>
      <c r="S82" s="13">
        <v>0.17657142857142857</v>
      </c>
      <c r="T82" s="5">
        <f t="shared" si="24"/>
        <v>0.8671428571428572</v>
      </c>
      <c r="V82" s="36"/>
      <c r="W82" s="36"/>
      <c r="X82" s="36"/>
      <c r="Y82" s="36"/>
      <c r="Z82" s="36"/>
      <c r="AA82" s="36">
        <f t="shared" si="19"/>
        <v>1.75</v>
      </c>
      <c r="AB82" s="37"/>
      <c r="AC82" s="37">
        <f t="shared" si="20"/>
        <v>1.75</v>
      </c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>
        <v>1.75</v>
      </c>
      <c r="AS82" s="37"/>
      <c r="AT82" s="37"/>
      <c r="AU82" s="37">
        <f t="shared" si="21"/>
        <v>1.75</v>
      </c>
    </row>
    <row r="83" spans="3:47" ht="12.75" hidden="1">
      <c r="C83" s="190" t="s">
        <v>933</v>
      </c>
      <c r="D83" s="233">
        <v>0.008</v>
      </c>
      <c r="E83" s="200"/>
      <c r="G83" s="155">
        <v>0.008</v>
      </c>
      <c r="H83" s="91">
        <v>0.008</v>
      </c>
      <c r="I83" s="13">
        <v>0</v>
      </c>
      <c r="J83" s="13">
        <v>0</v>
      </c>
      <c r="K83" s="13">
        <v>0</v>
      </c>
      <c r="L83" s="13">
        <v>0</v>
      </c>
      <c r="M83" s="13">
        <v>0.00042857142857142844</v>
      </c>
      <c r="N83" s="13">
        <v>0.00042857142857142844</v>
      </c>
      <c r="O83" s="13">
        <v>0.00042857142857142844</v>
      </c>
      <c r="P83" s="13">
        <v>0.00042857142857142844</v>
      </c>
      <c r="Q83" s="13">
        <v>0.00042857142857142844</v>
      </c>
      <c r="R83" s="13">
        <v>0.00042857142857142844</v>
      </c>
      <c r="S83" s="13">
        <v>0.00042857142857142844</v>
      </c>
      <c r="T83" s="5">
        <f t="shared" si="24"/>
        <v>0.008857142857142859</v>
      </c>
      <c r="V83" s="36"/>
      <c r="W83" s="36"/>
      <c r="X83" s="36"/>
      <c r="Y83" s="36"/>
      <c r="Z83" s="36"/>
      <c r="AA83" s="36">
        <f t="shared" si="19"/>
        <v>0.008</v>
      </c>
      <c r="AB83" s="37"/>
      <c r="AC83" s="37">
        <f t="shared" si="20"/>
        <v>0.008</v>
      </c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>
        <v>0.008</v>
      </c>
      <c r="AS83" s="37"/>
      <c r="AT83" s="37"/>
      <c r="AU83" s="37">
        <f t="shared" si="21"/>
        <v>0.008</v>
      </c>
    </row>
    <row r="84" spans="2:47" ht="12.75" hidden="1">
      <c r="B84" s="33" t="s">
        <v>1015</v>
      </c>
      <c r="C84" s="190" t="s">
        <v>934</v>
      </c>
      <c r="D84" s="233">
        <v>0</v>
      </c>
      <c r="E84" s="200"/>
      <c r="G84" s="155"/>
      <c r="H84" s="91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5">
        <f t="shared" si="24"/>
        <v>0</v>
      </c>
      <c r="V84" s="36"/>
      <c r="W84" s="36"/>
      <c r="X84" s="36"/>
      <c r="Y84" s="36"/>
      <c r="Z84" s="36"/>
      <c r="AA84" s="36">
        <f t="shared" si="19"/>
        <v>0</v>
      </c>
      <c r="AB84" s="37"/>
      <c r="AC84" s="37">
        <f t="shared" si="20"/>
        <v>0</v>
      </c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>
        <f t="shared" si="21"/>
        <v>0</v>
      </c>
    </row>
    <row r="85" spans="3:47" ht="12.75" hidden="1">
      <c r="C85" s="190" t="s">
        <v>935</v>
      </c>
      <c r="D85" s="233">
        <v>0.28</v>
      </c>
      <c r="E85" s="200"/>
      <c r="G85" s="155"/>
      <c r="H85" s="91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0.025</v>
      </c>
      <c r="N85" s="13">
        <v>0.025</v>
      </c>
      <c r="O85" s="13">
        <v>0.025</v>
      </c>
      <c r="P85" s="13">
        <v>0.025</v>
      </c>
      <c r="Q85" s="13">
        <v>0.025</v>
      </c>
      <c r="R85" s="13">
        <v>0.025</v>
      </c>
      <c r="S85" s="13">
        <v>0.025</v>
      </c>
      <c r="T85" s="5">
        <f t="shared" si="24"/>
        <v>0.05</v>
      </c>
      <c r="V85" s="36"/>
      <c r="W85" s="36"/>
      <c r="X85" s="36"/>
      <c r="Y85" s="36"/>
      <c r="Z85" s="36"/>
      <c r="AA85" s="36">
        <f t="shared" si="19"/>
        <v>0.27999999999999997</v>
      </c>
      <c r="AB85" s="37"/>
      <c r="AC85" s="37">
        <f t="shared" si="20"/>
        <v>0.27999999999999997</v>
      </c>
      <c r="AE85" s="37"/>
      <c r="AF85" s="37">
        <v>0.175</v>
      </c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>
        <v>0.105</v>
      </c>
      <c r="AS85" s="37"/>
      <c r="AT85" s="37"/>
      <c r="AU85" s="37">
        <f t="shared" si="21"/>
        <v>0.27999999999999997</v>
      </c>
    </row>
    <row r="86" spans="3:47" ht="12.75" hidden="1">
      <c r="C86" s="190" t="s">
        <v>936</v>
      </c>
      <c r="D86" s="233">
        <v>0.075</v>
      </c>
      <c r="E86" s="200"/>
      <c r="G86" s="155">
        <v>0.032</v>
      </c>
      <c r="H86" s="91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0.010714285714285714</v>
      </c>
      <c r="N86" s="13">
        <v>0.010714285714285714</v>
      </c>
      <c r="O86" s="13">
        <v>0.010714285714285714</v>
      </c>
      <c r="P86" s="13">
        <v>0.010714285714285714</v>
      </c>
      <c r="Q86" s="13">
        <v>0.010714285714285714</v>
      </c>
      <c r="R86" s="13">
        <v>0.010714285714285714</v>
      </c>
      <c r="S86" s="13">
        <v>0.010714285714285714</v>
      </c>
      <c r="T86" s="5">
        <f t="shared" si="24"/>
        <v>0.02142857142857143</v>
      </c>
      <c r="V86" s="36"/>
      <c r="W86" s="36"/>
      <c r="X86" s="36"/>
      <c r="Y86" s="36"/>
      <c r="Z86" s="36"/>
      <c r="AA86" s="36">
        <f t="shared" si="19"/>
        <v>0.075</v>
      </c>
      <c r="AB86" s="37"/>
      <c r="AC86" s="37">
        <f t="shared" si="20"/>
        <v>0.075</v>
      </c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>
        <v>0.075</v>
      </c>
      <c r="AS86" s="37"/>
      <c r="AT86" s="37"/>
      <c r="AU86" s="37">
        <f t="shared" si="21"/>
        <v>0.075</v>
      </c>
    </row>
    <row r="87" spans="2:47" ht="12.75" hidden="1">
      <c r="B87" s="33" t="s">
        <v>1016</v>
      </c>
      <c r="C87" s="190" t="s">
        <v>937</v>
      </c>
      <c r="D87" s="233">
        <v>0.65</v>
      </c>
      <c r="E87" s="200"/>
      <c r="G87" s="155">
        <v>0.304</v>
      </c>
      <c r="H87" s="91">
        <v>0.179</v>
      </c>
      <c r="I87" s="13">
        <v>0</v>
      </c>
      <c r="J87" s="13">
        <v>0</v>
      </c>
      <c r="K87" s="13">
        <v>0</v>
      </c>
      <c r="L87" s="13">
        <v>0</v>
      </c>
      <c r="M87" s="13">
        <v>0.0672857142857143</v>
      </c>
      <c r="N87" s="13">
        <v>0.0672857142857143</v>
      </c>
      <c r="O87" s="13">
        <v>0.0672857142857143</v>
      </c>
      <c r="P87" s="13">
        <v>0.0672857142857143</v>
      </c>
      <c r="Q87" s="13">
        <v>0.0672857142857143</v>
      </c>
      <c r="R87" s="13">
        <v>0.0672857142857143</v>
      </c>
      <c r="S87" s="13">
        <v>0.0672857142857143</v>
      </c>
      <c r="T87" s="5">
        <f t="shared" si="24"/>
        <v>0.31357142857142856</v>
      </c>
      <c r="V87" s="36"/>
      <c r="W87" s="36"/>
      <c r="X87" s="36"/>
      <c r="Y87" s="36"/>
      <c r="Z87" s="36"/>
      <c r="AA87" s="36">
        <f t="shared" si="19"/>
        <v>0.65</v>
      </c>
      <c r="AB87" s="37"/>
      <c r="AC87" s="37">
        <f t="shared" si="20"/>
        <v>0.65</v>
      </c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>
        <v>0.65</v>
      </c>
      <c r="AS87" s="37"/>
      <c r="AT87" s="37"/>
      <c r="AU87" s="37">
        <f t="shared" si="21"/>
        <v>0.65</v>
      </c>
    </row>
    <row r="88" spans="3:47" ht="12.75" hidden="1">
      <c r="C88" s="190" t="s">
        <v>938</v>
      </c>
      <c r="D88" s="233">
        <v>0.07</v>
      </c>
      <c r="E88" s="200"/>
      <c r="G88" s="155"/>
      <c r="H88" s="91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0.01</v>
      </c>
      <c r="N88" s="13">
        <v>0.01</v>
      </c>
      <c r="O88" s="13">
        <v>0.01</v>
      </c>
      <c r="P88" s="13">
        <v>0.01</v>
      </c>
      <c r="Q88" s="13">
        <v>0.01</v>
      </c>
      <c r="R88" s="13">
        <v>0.01</v>
      </c>
      <c r="S88" s="13">
        <v>0.01</v>
      </c>
      <c r="T88" s="5">
        <f t="shared" si="24"/>
        <v>0.02</v>
      </c>
      <c r="V88" s="36"/>
      <c r="W88" s="36"/>
      <c r="X88" s="36"/>
      <c r="Y88" s="36"/>
      <c r="Z88" s="36"/>
      <c r="AA88" s="36">
        <f t="shared" si="19"/>
        <v>0.07</v>
      </c>
      <c r="AB88" s="37"/>
      <c r="AC88" s="37">
        <f t="shared" si="20"/>
        <v>0.07</v>
      </c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>
        <v>0.07</v>
      </c>
      <c r="AS88" s="37"/>
      <c r="AT88" s="37"/>
      <c r="AU88" s="37">
        <f t="shared" si="21"/>
        <v>0.07</v>
      </c>
    </row>
    <row r="89" spans="3:47" ht="12.75" hidden="1">
      <c r="C89" s="190" t="s">
        <v>939</v>
      </c>
      <c r="D89" s="233">
        <v>0.08</v>
      </c>
      <c r="E89" s="200"/>
      <c r="G89" s="155">
        <v>0.015</v>
      </c>
      <c r="H89" s="91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0.05071428571428571</v>
      </c>
      <c r="N89" s="13">
        <v>0.05071428571428571</v>
      </c>
      <c r="O89" s="13">
        <v>0.05071428571428571</v>
      </c>
      <c r="P89" s="13">
        <v>0.05071428571428571</v>
      </c>
      <c r="Q89" s="13">
        <v>0.05071428571428571</v>
      </c>
      <c r="R89" s="13">
        <v>0.05071428571428571</v>
      </c>
      <c r="S89" s="13">
        <v>0.05071428571428571</v>
      </c>
      <c r="T89" s="5">
        <f t="shared" si="24"/>
        <v>0.10142857142857142</v>
      </c>
      <c r="V89" s="36"/>
      <c r="W89" s="36"/>
      <c r="X89" s="36"/>
      <c r="Y89" s="36"/>
      <c r="Z89" s="36"/>
      <c r="AA89" s="36">
        <f t="shared" si="19"/>
        <v>0.08</v>
      </c>
      <c r="AB89" s="37"/>
      <c r="AC89" s="37">
        <f t="shared" si="20"/>
        <v>0.08</v>
      </c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>
        <v>0.08</v>
      </c>
      <c r="AS89" s="37"/>
      <c r="AT89" s="37"/>
      <c r="AU89" s="37">
        <f t="shared" si="21"/>
        <v>0.08</v>
      </c>
    </row>
    <row r="90" spans="3:47" ht="12.75" hidden="1">
      <c r="C90" s="190" t="s">
        <v>940</v>
      </c>
      <c r="D90" s="233">
        <v>0.25</v>
      </c>
      <c r="E90" s="200"/>
      <c r="G90" s="155"/>
      <c r="H90" s="91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0.03571428571428571</v>
      </c>
      <c r="N90" s="13">
        <v>0.03571428571428571</v>
      </c>
      <c r="O90" s="13">
        <v>0.03571428571428571</v>
      </c>
      <c r="P90" s="13">
        <v>0.03571428571428571</v>
      </c>
      <c r="Q90" s="13">
        <v>0.03571428571428571</v>
      </c>
      <c r="R90" s="13">
        <v>0.03571428571428571</v>
      </c>
      <c r="S90" s="13">
        <v>0.03571428571428571</v>
      </c>
      <c r="T90" s="5">
        <f t="shared" si="24"/>
        <v>0.07142857142857142</v>
      </c>
      <c r="V90" s="36"/>
      <c r="W90" s="36"/>
      <c r="X90" s="36"/>
      <c r="Y90" s="36"/>
      <c r="Z90" s="36"/>
      <c r="AA90" s="36">
        <f t="shared" si="19"/>
        <v>0.25</v>
      </c>
      <c r="AB90" s="37"/>
      <c r="AC90" s="37">
        <f t="shared" si="20"/>
        <v>0.25</v>
      </c>
      <c r="AE90" s="37"/>
      <c r="AF90" s="37">
        <v>0.25</v>
      </c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>
        <f t="shared" si="21"/>
        <v>0.25</v>
      </c>
    </row>
    <row r="91" spans="3:47" ht="12.75" hidden="1">
      <c r="C91" s="190" t="s">
        <v>941</v>
      </c>
      <c r="D91" s="233">
        <v>2.874</v>
      </c>
      <c r="E91" s="200"/>
      <c r="G91" s="155"/>
      <c r="H91" s="91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0.4105714285714286</v>
      </c>
      <c r="N91" s="13">
        <v>0.4105714285714286</v>
      </c>
      <c r="O91" s="13">
        <v>0.4105714285714286</v>
      </c>
      <c r="P91" s="13">
        <v>0.4105714285714286</v>
      </c>
      <c r="Q91" s="13">
        <v>0.4105714285714286</v>
      </c>
      <c r="R91" s="13">
        <v>0.4105714285714286</v>
      </c>
      <c r="S91" s="13">
        <v>0.4105714285714286</v>
      </c>
      <c r="T91" s="5">
        <f t="shared" si="24"/>
        <v>0.8211428571428572</v>
      </c>
      <c r="V91" s="36"/>
      <c r="W91" s="36"/>
      <c r="X91" s="36"/>
      <c r="Y91" s="36"/>
      <c r="Z91" s="36"/>
      <c r="AA91" s="36">
        <f t="shared" si="19"/>
        <v>2.874</v>
      </c>
      <c r="AB91" s="37"/>
      <c r="AC91" s="37">
        <f t="shared" si="20"/>
        <v>2.874</v>
      </c>
      <c r="AE91" s="37"/>
      <c r="AF91" s="37">
        <v>2.874</v>
      </c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>
        <f t="shared" si="21"/>
        <v>2.874</v>
      </c>
    </row>
    <row r="92" spans="3:47" ht="12.75" hidden="1">
      <c r="C92" s="190" t="s">
        <v>1078</v>
      </c>
      <c r="D92" s="233">
        <v>0.44</v>
      </c>
      <c r="E92" s="200"/>
      <c r="G92" s="155"/>
      <c r="H92" s="91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0.06285714285714286</v>
      </c>
      <c r="N92" s="13">
        <v>0.06285714285714286</v>
      </c>
      <c r="O92" s="13">
        <v>0.06285714285714286</v>
      </c>
      <c r="P92" s="13">
        <v>0.06285714285714286</v>
      </c>
      <c r="Q92" s="13">
        <v>0.06285714285714286</v>
      </c>
      <c r="R92" s="13">
        <v>0.06285714285714286</v>
      </c>
      <c r="S92" s="13">
        <v>0.06285714285714286</v>
      </c>
      <c r="T92" s="5">
        <f t="shared" si="24"/>
        <v>0.12571428571428572</v>
      </c>
      <c r="V92" s="36"/>
      <c r="W92" s="36"/>
      <c r="X92" s="36"/>
      <c r="Y92" s="36"/>
      <c r="Z92" s="36"/>
      <c r="AA92" s="36">
        <f t="shared" si="19"/>
        <v>0.44</v>
      </c>
      <c r="AB92" s="37"/>
      <c r="AC92" s="37">
        <f t="shared" si="20"/>
        <v>0.44</v>
      </c>
      <c r="AE92" s="37"/>
      <c r="AF92" s="37">
        <v>0.44</v>
      </c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>
        <f t="shared" si="21"/>
        <v>0.44</v>
      </c>
    </row>
    <row r="93" spans="3:47" ht="12.75" hidden="1">
      <c r="C93" s="190" t="s">
        <v>1079</v>
      </c>
      <c r="D93" s="233">
        <v>0.3</v>
      </c>
      <c r="E93" s="200"/>
      <c r="G93" s="155"/>
      <c r="H93" s="91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0.04285714285714286</v>
      </c>
      <c r="N93" s="13">
        <v>0.04285714285714286</v>
      </c>
      <c r="O93" s="13">
        <v>0.04285714285714286</v>
      </c>
      <c r="P93" s="13">
        <v>0.04285714285714286</v>
      </c>
      <c r="Q93" s="13">
        <v>0.04285714285714286</v>
      </c>
      <c r="R93" s="13">
        <v>0.04285714285714286</v>
      </c>
      <c r="S93" s="13">
        <v>0.04285714285714286</v>
      </c>
      <c r="T93" s="5">
        <f t="shared" si="24"/>
        <v>0.08571428571428572</v>
      </c>
      <c r="V93" s="36">
        <v>0.3</v>
      </c>
      <c r="W93" s="36"/>
      <c r="X93" s="36"/>
      <c r="Y93" s="36"/>
      <c r="Z93" s="36"/>
      <c r="AA93" s="36">
        <f>AU93</f>
        <v>0</v>
      </c>
      <c r="AB93" s="37"/>
      <c r="AC93" s="37">
        <f>SUM(V93:AB93)</f>
        <v>0.3</v>
      </c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>
        <f t="shared" si="21"/>
        <v>0</v>
      </c>
    </row>
    <row r="94" spans="3:47" ht="12.75" hidden="1">
      <c r="C94" s="190" t="s">
        <v>752</v>
      </c>
      <c r="D94" s="233">
        <v>0.005</v>
      </c>
      <c r="E94" s="200"/>
      <c r="G94" s="155">
        <v>0.005</v>
      </c>
      <c r="H94" s="91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5"/>
      <c r="V94" s="36"/>
      <c r="W94" s="36"/>
      <c r="X94" s="36"/>
      <c r="Y94" s="36"/>
      <c r="Z94" s="36"/>
      <c r="AA94" s="36">
        <f>AU94</f>
        <v>0.005</v>
      </c>
      <c r="AB94" s="37"/>
      <c r="AC94" s="37">
        <f>SUM(V94:AB94)</f>
        <v>0.005</v>
      </c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>
        <v>0.005</v>
      </c>
      <c r="AS94" s="37"/>
      <c r="AT94" s="37"/>
      <c r="AU94" s="37">
        <f t="shared" si="21"/>
        <v>0.005</v>
      </c>
    </row>
    <row r="95" spans="2:47" ht="12.75" hidden="1">
      <c r="B95" s="33" t="s">
        <v>1017</v>
      </c>
      <c r="C95" s="190" t="s">
        <v>942</v>
      </c>
      <c r="D95" s="233">
        <v>0.877</v>
      </c>
      <c r="E95" s="200"/>
      <c r="G95" s="155">
        <v>0.188</v>
      </c>
      <c r="H95" s="91">
        <v>0.166</v>
      </c>
      <c r="I95" s="13">
        <v>0</v>
      </c>
      <c r="J95" s="13">
        <v>0</v>
      </c>
      <c r="K95" s="13">
        <v>0</v>
      </c>
      <c r="L95" s="13">
        <v>0</v>
      </c>
      <c r="M95" s="13">
        <v>0.10157142857142856</v>
      </c>
      <c r="N95" s="13">
        <v>0.10157142857142856</v>
      </c>
      <c r="O95" s="13">
        <v>0.10157142857142856</v>
      </c>
      <c r="P95" s="13">
        <v>0.10157142857142856</v>
      </c>
      <c r="Q95" s="13">
        <v>0.10157142857142856</v>
      </c>
      <c r="R95" s="13">
        <v>0.10157142857142856</v>
      </c>
      <c r="S95" s="13">
        <v>0.10157142857142856</v>
      </c>
      <c r="T95" s="5">
        <f aca="true" t="shared" si="25" ref="T95:T103">SUM(H95:N95)</f>
        <v>0.3691428571428571</v>
      </c>
      <c r="V95" s="36"/>
      <c r="W95" s="36"/>
      <c r="X95" s="36"/>
      <c r="Y95" s="36"/>
      <c r="Z95" s="36"/>
      <c r="AA95" s="36">
        <f>AU95</f>
        <v>0.877</v>
      </c>
      <c r="AB95" s="37"/>
      <c r="AC95" s="37">
        <f>SUM(V95:AB95)</f>
        <v>0.877</v>
      </c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>
        <v>0.877</v>
      </c>
      <c r="AS95" s="37"/>
      <c r="AT95" s="37"/>
      <c r="AU95" s="37">
        <f t="shared" si="21"/>
        <v>0.877</v>
      </c>
    </row>
    <row r="96" spans="3:47" ht="12.75" hidden="1">
      <c r="C96" s="190" t="s">
        <v>1082</v>
      </c>
      <c r="D96" s="233">
        <v>0.05</v>
      </c>
      <c r="E96" s="200"/>
      <c r="G96" s="155">
        <v>0.05</v>
      </c>
      <c r="H96" s="91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0.010714285714285714</v>
      </c>
      <c r="N96" s="13">
        <v>0.010714285714285714</v>
      </c>
      <c r="O96" s="13">
        <v>0.010714285714285714</v>
      </c>
      <c r="P96" s="13">
        <v>0.010714285714285714</v>
      </c>
      <c r="Q96" s="13">
        <v>0.010714285714285714</v>
      </c>
      <c r="R96" s="13">
        <v>0.010714285714285714</v>
      </c>
      <c r="S96" s="13">
        <v>0.010714285714285714</v>
      </c>
      <c r="T96" s="5">
        <f t="shared" si="25"/>
        <v>0.02142857142857143</v>
      </c>
      <c r="V96" s="36"/>
      <c r="W96" s="36"/>
      <c r="X96" s="36"/>
      <c r="Y96" s="36"/>
      <c r="Z96" s="36"/>
      <c r="AA96" s="36">
        <f>AU96</f>
        <v>0.05</v>
      </c>
      <c r="AB96" s="37"/>
      <c r="AC96" s="37">
        <f>SUM(V96:AB96)</f>
        <v>0.05</v>
      </c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>
        <v>0.05</v>
      </c>
      <c r="AS96" s="37"/>
      <c r="AT96" s="37"/>
      <c r="AU96" s="37">
        <f t="shared" si="21"/>
        <v>0.05</v>
      </c>
    </row>
    <row r="97" spans="3:47" ht="12.75" hidden="1">
      <c r="C97" s="190" t="s">
        <v>943</v>
      </c>
      <c r="D97" s="233">
        <v>0.2</v>
      </c>
      <c r="E97" s="200"/>
      <c r="G97" s="155"/>
      <c r="H97" s="91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0.09542857142857143</v>
      </c>
      <c r="N97" s="13">
        <v>0.09542857142857143</v>
      </c>
      <c r="O97" s="13">
        <v>0.09542857142857143</v>
      </c>
      <c r="P97" s="13">
        <v>0.09542857142857143</v>
      </c>
      <c r="Q97" s="13">
        <v>0.09542857142857143</v>
      </c>
      <c r="R97" s="13">
        <v>0.09542857142857143</v>
      </c>
      <c r="S97" s="13">
        <v>0.09542857142857143</v>
      </c>
      <c r="T97" s="5">
        <f t="shared" si="25"/>
        <v>0.19085714285714286</v>
      </c>
      <c r="V97" s="36"/>
      <c r="W97" s="36"/>
      <c r="X97" s="36"/>
      <c r="Y97" s="36"/>
      <c r="Z97" s="36"/>
      <c r="AA97" s="36">
        <f t="shared" si="19"/>
        <v>0.2</v>
      </c>
      <c r="AB97" s="37"/>
      <c r="AC97" s="37">
        <f t="shared" si="20"/>
        <v>0.2</v>
      </c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>
        <v>0.2</v>
      </c>
      <c r="AS97" s="37"/>
      <c r="AT97" s="37"/>
      <c r="AU97" s="37">
        <f t="shared" si="21"/>
        <v>0.2</v>
      </c>
    </row>
    <row r="98" spans="2:47" ht="12.75" hidden="1">
      <c r="B98" s="33" t="s">
        <v>1018</v>
      </c>
      <c r="C98" s="190" t="s">
        <v>944</v>
      </c>
      <c r="D98" s="233">
        <v>0.3</v>
      </c>
      <c r="E98" s="200"/>
      <c r="G98" s="155">
        <v>0.046</v>
      </c>
      <c r="H98" s="91">
        <v>0.046</v>
      </c>
      <c r="I98" s="13">
        <v>0</v>
      </c>
      <c r="J98" s="13">
        <v>0</v>
      </c>
      <c r="K98" s="13">
        <v>0</v>
      </c>
      <c r="L98" s="13">
        <v>0</v>
      </c>
      <c r="M98" s="13">
        <v>0.03628571428571429</v>
      </c>
      <c r="N98" s="13">
        <v>0.03628571428571429</v>
      </c>
      <c r="O98" s="13">
        <v>0.03628571428571429</v>
      </c>
      <c r="P98" s="13">
        <v>0.03628571428571429</v>
      </c>
      <c r="Q98" s="13">
        <v>0.03628571428571429</v>
      </c>
      <c r="R98" s="13">
        <v>0.03628571428571429</v>
      </c>
      <c r="S98" s="13">
        <v>0.03628571428571429</v>
      </c>
      <c r="T98" s="5">
        <f t="shared" si="25"/>
        <v>0.11857142857142858</v>
      </c>
      <c r="V98" s="36">
        <v>0.3</v>
      </c>
      <c r="W98" s="36"/>
      <c r="X98" s="36"/>
      <c r="Y98" s="36"/>
      <c r="Z98" s="36"/>
      <c r="AA98" s="36">
        <f t="shared" si="19"/>
        <v>0</v>
      </c>
      <c r="AB98" s="37"/>
      <c r="AC98" s="37">
        <f t="shared" si="20"/>
        <v>0.3</v>
      </c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>
        <f t="shared" si="21"/>
        <v>0</v>
      </c>
    </row>
    <row r="99" spans="3:47" ht="12.75" hidden="1">
      <c r="C99" s="190" t="s">
        <v>1083</v>
      </c>
      <c r="D99" s="233">
        <v>0.104</v>
      </c>
      <c r="E99" s="200"/>
      <c r="G99" s="155">
        <v>0.003</v>
      </c>
      <c r="H99" s="91">
        <v>0.003</v>
      </c>
      <c r="I99" s="13">
        <v>0</v>
      </c>
      <c r="J99" s="13">
        <v>0</v>
      </c>
      <c r="K99" s="13">
        <v>0</v>
      </c>
      <c r="L99" s="13">
        <v>0</v>
      </c>
      <c r="M99" s="13">
        <v>0.014428571428571428</v>
      </c>
      <c r="N99" s="13">
        <v>0.014428571428571428</v>
      </c>
      <c r="O99" s="13">
        <v>0.014428571428571428</v>
      </c>
      <c r="P99" s="13">
        <v>0.014428571428571428</v>
      </c>
      <c r="Q99" s="13">
        <v>0.014428571428571428</v>
      </c>
      <c r="R99" s="13">
        <v>0.014428571428571428</v>
      </c>
      <c r="S99" s="13">
        <v>0.014428571428571428</v>
      </c>
      <c r="T99" s="5">
        <f t="shared" si="25"/>
        <v>0.031857142857142855</v>
      </c>
      <c r="V99" s="36"/>
      <c r="W99" s="36"/>
      <c r="X99" s="36"/>
      <c r="Y99" s="36"/>
      <c r="Z99" s="36"/>
      <c r="AA99" s="36">
        <f t="shared" si="19"/>
        <v>0.104</v>
      </c>
      <c r="AB99" s="37"/>
      <c r="AC99" s="37">
        <f t="shared" si="20"/>
        <v>0.104</v>
      </c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>
        <v>0.104</v>
      </c>
      <c r="AS99" s="37"/>
      <c r="AT99" s="37"/>
      <c r="AU99" s="37">
        <f t="shared" si="21"/>
        <v>0.104</v>
      </c>
    </row>
    <row r="100" spans="3:47" ht="12.75" hidden="1">
      <c r="C100" s="190" t="s">
        <v>1084</v>
      </c>
      <c r="D100" s="233">
        <v>0.096</v>
      </c>
      <c r="E100" s="200"/>
      <c r="G100" s="155">
        <v>0.004</v>
      </c>
      <c r="H100" s="91">
        <v>0.001</v>
      </c>
      <c r="I100" s="13">
        <v>0</v>
      </c>
      <c r="J100" s="13">
        <v>0</v>
      </c>
      <c r="K100" s="13">
        <v>0</v>
      </c>
      <c r="L100" s="13">
        <v>0</v>
      </c>
      <c r="M100" s="13">
        <v>0.014428571428571428</v>
      </c>
      <c r="N100" s="13">
        <v>0.014428571428571428</v>
      </c>
      <c r="O100" s="13">
        <v>0.014428571428571428</v>
      </c>
      <c r="P100" s="13">
        <v>0.014428571428571428</v>
      </c>
      <c r="Q100" s="13">
        <v>0.014428571428571428</v>
      </c>
      <c r="R100" s="13">
        <v>0.014428571428571428</v>
      </c>
      <c r="S100" s="13">
        <v>0.014428571428571428</v>
      </c>
      <c r="T100" s="5">
        <f t="shared" si="25"/>
        <v>0.029857142857142853</v>
      </c>
      <c r="V100" s="36">
        <v>0.064</v>
      </c>
      <c r="W100" s="36"/>
      <c r="X100" s="36"/>
      <c r="Y100" s="36"/>
      <c r="Z100" s="36"/>
      <c r="AA100" s="36">
        <f>AU100</f>
        <v>0.032</v>
      </c>
      <c r="AB100" s="37"/>
      <c r="AC100" s="37">
        <f>SUM(V100:AB100)</f>
        <v>0.096</v>
      </c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>
        <v>0.032</v>
      </c>
      <c r="AS100" s="37"/>
      <c r="AT100" s="37"/>
      <c r="AU100" s="37">
        <f t="shared" si="21"/>
        <v>0.032</v>
      </c>
    </row>
    <row r="101" spans="3:47" ht="12.75" hidden="1">
      <c r="C101" s="190" t="s">
        <v>945</v>
      </c>
      <c r="D101" s="233">
        <v>0.15</v>
      </c>
      <c r="E101" s="200"/>
      <c r="G101" s="155">
        <v>0.039</v>
      </c>
      <c r="H101" s="91">
        <v>0.031</v>
      </c>
      <c r="I101" s="13">
        <v>0</v>
      </c>
      <c r="J101" s="13">
        <v>0</v>
      </c>
      <c r="K101" s="13">
        <v>0</v>
      </c>
      <c r="L101" s="13">
        <v>0</v>
      </c>
      <c r="M101" s="13">
        <v>0.016999999999999998</v>
      </c>
      <c r="N101" s="13">
        <v>0.016999999999999998</v>
      </c>
      <c r="O101" s="13">
        <v>0.016999999999999998</v>
      </c>
      <c r="P101" s="13">
        <v>0.016999999999999998</v>
      </c>
      <c r="Q101" s="13">
        <v>0.016999999999999998</v>
      </c>
      <c r="R101" s="13">
        <v>0.016999999999999998</v>
      </c>
      <c r="S101" s="13">
        <v>0.016999999999999998</v>
      </c>
      <c r="T101" s="5">
        <f t="shared" si="25"/>
        <v>0.065</v>
      </c>
      <c r="V101" s="36">
        <v>0.087</v>
      </c>
      <c r="W101" s="36"/>
      <c r="X101" s="36"/>
      <c r="Y101" s="36"/>
      <c r="Z101" s="36">
        <v>0.063</v>
      </c>
      <c r="AA101" s="36">
        <f t="shared" si="19"/>
        <v>0</v>
      </c>
      <c r="AB101" s="37"/>
      <c r="AC101" s="37">
        <f t="shared" si="20"/>
        <v>0.15</v>
      </c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>
        <f t="shared" si="21"/>
        <v>0</v>
      </c>
    </row>
    <row r="102" spans="2:47" ht="12.75" hidden="1">
      <c r="B102" s="33" t="s">
        <v>1019</v>
      </c>
      <c r="C102" s="190" t="s">
        <v>946</v>
      </c>
      <c r="D102" s="233">
        <v>0.119</v>
      </c>
      <c r="E102" s="200"/>
      <c r="G102" s="155">
        <v>0.119</v>
      </c>
      <c r="H102" s="91">
        <v>0.105</v>
      </c>
      <c r="I102" s="13">
        <v>0</v>
      </c>
      <c r="J102" s="13">
        <v>0</v>
      </c>
      <c r="K102" s="13">
        <v>0</v>
      </c>
      <c r="L102" s="13">
        <v>0</v>
      </c>
      <c r="M102" s="13">
        <v>0.00557142857142857</v>
      </c>
      <c r="N102" s="13">
        <v>0.00557142857142857</v>
      </c>
      <c r="O102" s="13">
        <v>0.00557142857142857</v>
      </c>
      <c r="P102" s="13">
        <v>0.00557142857142857</v>
      </c>
      <c r="Q102" s="13">
        <v>0.00557142857142857</v>
      </c>
      <c r="R102" s="13">
        <v>0.00557142857142857</v>
      </c>
      <c r="S102" s="13">
        <v>0.00557142857142857</v>
      </c>
      <c r="T102" s="5">
        <f t="shared" si="25"/>
        <v>0.11614285714285714</v>
      </c>
      <c r="V102" s="36"/>
      <c r="W102" s="36"/>
      <c r="X102" s="36"/>
      <c r="Y102" s="36"/>
      <c r="Z102" s="36">
        <v>0.119</v>
      </c>
      <c r="AA102" s="36">
        <f t="shared" si="19"/>
        <v>0</v>
      </c>
      <c r="AB102" s="37"/>
      <c r="AC102" s="37">
        <f t="shared" si="20"/>
        <v>0.119</v>
      </c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>
        <f t="shared" si="21"/>
        <v>0</v>
      </c>
    </row>
    <row r="103" spans="3:47" ht="12.75" hidden="1">
      <c r="C103" s="190" t="s">
        <v>947</v>
      </c>
      <c r="D103" s="233">
        <v>0</v>
      </c>
      <c r="E103" s="200"/>
      <c r="G103" s="155"/>
      <c r="H103" s="91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5">
        <f t="shared" si="25"/>
        <v>0</v>
      </c>
      <c r="V103" s="36"/>
      <c r="W103" s="36"/>
      <c r="X103" s="36"/>
      <c r="Y103" s="36"/>
      <c r="Z103" s="36"/>
      <c r="AA103" s="36">
        <f t="shared" si="19"/>
        <v>0</v>
      </c>
      <c r="AB103" s="37"/>
      <c r="AC103" s="37">
        <f t="shared" si="20"/>
        <v>0</v>
      </c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>
        <f t="shared" si="21"/>
        <v>0</v>
      </c>
    </row>
    <row r="104" spans="2:47" ht="12.75">
      <c r="B104" s="252" t="s">
        <v>1460</v>
      </c>
      <c r="C104" s="84" t="s">
        <v>1005</v>
      </c>
      <c r="D104" s="233">
        <f>SUM(D105:D123)</f>
        <v>2.818</v>
      </c>
      <c r="E104" s="200"/>
      <c r="G104" s="233">
        <f>SUM(G105:G123)</f>
        <v>0.576</v>
      </c>
      <c r="H104" s="236">
        <f aca="true" t="shared" si="26" ref="H104:AU104">SUM(H105:H123)</f>
        <v>0.36400000000000005</v>
      </c>
      <c r="I104" s="237">
        <f t="shared" si="26"/>
        <v>0</v>
      </c>
      <c r="J104" s="237">
        <f t="shared" si="26"/>
        <v>0</v>
      </c>
      <c r="K104" s="237">
        <f aca="true" t="shared" si="27" ref="K104:T104">SUM(K105:K123)</f>
        <v>0</v>
      </c>
      <c r="L104" s="237">
        <f t="shared" si="27"/>
        <v>0</v>
      </c>
      <c r="M104" s="237">
        <f t="shared" si="27"/>
        <v>0.3405714285714285</v>
      </c>
      <c r="N104" s="237">
        <f t="shared" si="27"/>
        <v>0.3405714285714285</v>
      </c>
      <c r="O104" s="237">
        <f t="shared" si="27"/>
        <v>0.3405714285714285</v>
      </c>
      <c r="P104" s="237">
        <f t="shared" si="27"/>
        <v>0.3405714285714285</v>
      </c>
      <c r="Q104" s="237">
        <f t="shared" si="27"/>
        <v>0.3405714285714285</v>
      </c>
      <c r="R104" s="237">
        <f t="shared" si="27"/>
        <v>0.3405714285714285</v>
      </c>
      <c r="S104" s="237">
        <f t="shared" si="27"/>
        <v>0.3405714285714285</v>
      </c>
      <c r="T104" s="233">
        <f t="shared" si="27"/>
        <v>1.045142857142857</v>
      </c>
      <c r="U104" s="237"/>
      <c r="V104" s="239">
        <f t="shared" si="26"/>
        <v>0</v>
      </c>
      <c r="W104" s="239">
        <f t="shared" si="26"/>
        <v>0</v>
      </c>
      <c r="X104" s="239">
        <f t="shared" si="26"/>
        <v>0</v>
      </c>
      <c r="Y104" s="239">
        <f t="shared" si="26"/>
        <v>0</v>
      </c>
      <c r="Z104" s="239">
        <f t="shared" si="26"/>
        <v>0.7800000000000001</v>
      </c>
      <c r="AA104" s="239">
        <f t="shared" si="26"/>
        <v>2.038</v>
      </c>
      <c r="AB104" s="239">
        <f t="shared" si="26"/>
        <v>0</v>
      </c>
      <c r="AC104" s="239">
        <f t="shared" si="26"/>
        <v>2.818</v>
      </c>
      <c r="AD104" s="237"/>
      <c r="AE104" s="239">
        <f t="shared" si="26"/>
        <v>0</v>
      </c>
      <c r="AF104" s="239">
        <f t="shared" si="26"/>
        <v>0</v>
      </c>
      <c r="AG104" s="239">
        <f t="shared" si="26"/>
        <v>0</v>
      </c>
      <c r="AH104" s="239">
        <f t="shared" si="26"/>
        <v>0</v>
      </c>
      <c r="AI104" s="239">
        <f t="shared" si="26"/>
        <v>0</v>
      </c>
      <c r="AJ104" s="239">
        <f t="shared" si="26"/>
        <v>0</v>
      </c>
      <c r="AK104" s="239">
        <f t="shared" si="26"/>
        <v>0</v>
      </c>
      <c r="AL104" s="239">
        <f t="shared" si="26"/>
        <v>0</v>
      </c>
      <c r="AM104" s="239">
        <f t="shared" si="26"/>
        <v>0</v>
      </c>
      <c r="AN104" s="239">
        <f t="shared" si="26"/>
        <v>0</v>
      </c>
      <c r="AO104" s="239">
        <f t="shared" si="26"/>
        <v>0</v>
      </c>
      <c r="AP104" s="239">
        <f t="shared" si="26"/>
        <v>0</v>
      </c>
      <c r="AQ104" s="239">
        <f t="shared" si="26"/>
        <v>0</v>
      </c>
      <c r="AR104" s="239">
        <f t="shared" si="26"/>
        <v>2.038</v>
      </c>
      <c r="AS104" s="239">
        <f t="shared" si="26"/>
        <v>0</v>
      </c>
      <c r="AT104" s="239">
        <f t="shared" si="26"/>
        <v>0</v>
      </c>
      <c r="AU104" s="239">
        <f t="shared" si="26"/>
        <v>2.038</v>
      </c>
    </row>
    <row r="105" spans="3:47" ht="12.75" hidden="1">
      <c r="C105" s="190" t="s">
        <v>948</v>
      </c>
      <c r="D105" s="233">
        <v>0.4</v>
      </c>
      <c r="E105" s="200"/>
      <c r="G105" s="155">
        <v>0.07</v>
      </c>
      <c r="H105" s="91">
        <v>0.021</v>
      </c>
      <c r="I105" s="13">
        <v>0</v>
      </c>
      <c r="J105" s="13">
        <v>0</v>
      </c>
      <c r="K105" s="13">
        <v>0</v>
      </c>
      <c r="L105" s="13">
        <v>0</v>
      </c>
      <c r="M105" s="13">
        <v>0.054142857142857145</v>
      </c>
      <c r="N105" s="13">
        <v>0.054142857142857145</v>
      </c>
      <c r="O105" s="13">
        <v>0.054142857142857145</v>
      </c>
      <c r="P105" s="13">
        <v>0.054142857142857145</v>
      </c>
      <c r="Q105" s="13">
        <v>0.054142857142857145</v>
      </c>
      <c r="R105" s="13">
        <v>0.054142857142857145</v>
      </c>
      <c r="S105" s="13">
        <v>0.054142857142857145</v>
      </c>
      <c r="T105" s="5">
        <f aca="true" t="shared" si="28" ref="T105:T123">SUM(H105:N105)</f>
        <v>0.12928571428571428</v>
      </c>
      <c r="V105" s="36"/>
      <c r="W105" s="36"/>
      <c r="X105" s="36"/>
      <c r="Y105" s="36"/>
      <c r="Z105" s="36"/>
      <c r="AA105" s="36">
        <f t="shared" si="19"/>
        <v>0.4</v>
      </c>
      <c r="AB105" s="37"/>
      <c r="AC105" s="37">
        <f t="shared" si="20"/>
        <v>0.4</v>
      </c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>
        <v>0.4</v>
      </c>
      <c r="AS105" s="37"/>
      <c r="AT105" s="37"/>
      <c r="AU105" s="37">
        <f t="shared" si="21"/>
        <v>0.4</v>
      </c>
    </row>
    <row r="106" spans="3:47" ht="12.75" hidden="1">
      <c r="C106" s="190" t="s">
        <v>949</v>
      </c>
      <c r="D106" s="233">
        <v>0</v>
      </c>
      <c r="E106" s="200"/>
      <c r="G106" s="155"/>
      <c r="H106" s="91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0.0071428571428571435</v>
      </c>
      <c r="N106" s="13">
        <v>0.0071428571428571435</v>
      </c>
      <c r="O106" s="13">
        <v>0.0071428571428571435</v>
      </c>
      <c r="P106" s="13">
        <v>0.0071428571428571435</v>
      </c>
      <c r="Q106" s="13">
        <v>0.0071428571428571435</v>
      </c>
      <c r="R106" s="13">
        <v>0.0071428571428571435</v>
      </c>
      <c r="S106" s="13">
        <v>0.0071428571428571435</v>
      </c>
      <c r="T106" s="5">
        <f t="shared" si="28"/>
        <v>0.014285714285714287</v>
      </c>
      <c r="V106" s="36"/>
      <c r="W106" s="36"/>
      <c r="X106" s="36"/>
      <c r="Y106" s="36"/>
      <c r="Z106" s="36"/>
      <c r="AA106" s="36">
        <f t="shared" si="19"/>
        <v>0</v>
      </c>
      <c r="AB106" s="37"/>
      <c r="AC106" s="37">
        <f t="shared" si="20"/>
        <v>0</v>
      </c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>
        <f t="shared" si="21"/>
        <v>0</v>
      </c>
    </row>
    <row r="107" spans="2:47" ht="12.75" hidden="1">
      <c r="B107" s="33" t="s">
        <v>1020</v>
      </c>
      <c r="C107" s="190" t="s">
        <v>950</v>
      </c>
      <c r="D107" s="233">
        <v>0</v>
      </c>
      <c r="E107" s="200"/>
      <c r="G107" s="155"/>
      <c r="H107" s="91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5">
        <f t="shared" si="28"/>
        <v>0</v>
      </c>
      <c r="V107" s="36"/>
      <c r="W107" s="36"/>
      <c r="X107" s="36"/>
      <c r="Y107" s="36"/>
      <c r="Z107" s="36"/>
      <c r="AA107" s="36">
        <f t="shared" si="19"/>
        <v>0</v>
      </c>
      <c r="AB107" s="37"/>
      <c r="AC107" s="37">
        <f t="shared" si="20"/>
        <v>0</v>
      </c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>
        <f t="shared" si="21"/>
        <v>0</v>
      </c>
    </row>
    <row r="108" spans="3:47" ht="12.75" hidden="1">
      <c r="C108" s="190" t="s">
        <v>951</v>
      </c>
      <c r="D108" s="233">
        <v>0.06</v>
      </c>
      <c r="E108" s="200"/>
      <c r="G108" s="155">
        <v>0.003</v>
      </c>
      <c r="H108" s="91">
        <v>0.001</v>
      </c>
      <c r="I108" s="13">
        <v>0</v>
      </c>
      <c r="J108" s="13">
        <v>0</v>
      </c>
      <c r="K108" s="13">
        <v>0</v>
      </c>
      <c r="L108" s="13">
        <v>0</v>
      </c>
      <c r="M108" s="13">
        <v>0.008428571428571428</v>
      </c>
      <c r="N108" s="13">
        <v>0.008428571428571428</v>
      </c>
      <c r="O108" s="13">
        <v>0.008428571428571428</v>
      </c>
      <c r="P108" s="13">
        <v>0.008428571428571428</v>
      </c>
      <c r="Q108" s="13">
        <v>0.008428571428571428</v>
      </c>
      <c r="R108" s="13">
        <v>0.008428571428571428</v>
      </c>
      <c r="S108" s="13">
        <v>0.008428571428571428</v>
      </c>
      <c r="T108" s="5">
        <f t="shared" si="28"/>
        <v>0.017857142857142856</v>
      </c>
      <c r="V108" s="36"/>
      <c r="W108" s="36"/>
      <c r="X108" s="36"/>
      <c r="Y108" s="36"/>
      <c r="Z108" s="36"/>
      <c r="AA108" s="36">
        <f t="shared" si="19"/>
        <v>0.06</v>
      </c>
      <c r="AB108" s="37"/>
      <c r="AC108" s="37">
        <f t="shared" si="20"/>
        <v>0.06</v>
      </c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>
        <v>0.06</v>
      </c>
      <c r="AS108" s="37"/>
      <c r="AT108" s="37"/>
      <c r="AU108" s="37">
        <f t="shared" si="21"/>
        <v>0.06</v>
      </c>
    </row>
    <row r="109" spans="3:47" ht="12.75" hidden="1">
      <c r="C109" s="190" t="s">
        <v>952</v>
      </c>
      <c r="D109" s="233">
        <v>0.889</v>
      </c>
      <c r="E109" s="200"/>
      <c r="G109" s="155"/>
      <c r="H109" s="91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0.127</v>
      </c>
      <c r="N109" s="13">
        <v>0.127</v>
      </c>
      <c r="O109" s="13">
        <v>0.127</v>
      </c>
      <c r="P109" s="13">
        <v>0.127</v>
      </c>
      <c r="Q109" s="13">
        <v>0.127</v>
      </c>
      <c r="R109" s="13">
        <v>0.127</v>
      </c>
      <c r="S109" s="13">
        <v>0.127</v>
      </c>
      <c r="T109" s="5">
        <f t="shared" si="28"/>
        <v>0.254</v>
      </c>
      <c r="V109" s="36"/>
      <c r="W109" s="36"/>
      <c r="X109" s="36"/>
      <c r="Y109" s="36"/>
      <c r="Z109" s="36"/>
      <c r="AA109" s="36">
        <f t="shared" si="19"/>
        <v>0.889</v>
      </c>
      <c r="AB109" s="37"/>
      <c r="AC109" s="37">
        <f t="shared" si="20"/>
        <v>0.889</v>
      </c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>
        <v>0.889</v>
      </c>
      <c r="AS109" s="37"/>
      <c r="AT109" s="37"/>
      <c r="AU109" s="37">
        <f t="shared" si="21"/>
        <v>0.889</v>
      </c>
    </row>
    <row r="110" spans="3:47" ht="12.75" hidden="1">
      <c r="C110" s="190" t="s">
        <v>953</v>
      </c>
      <c r="D110" s="233">
        <v>0</v>
      </c>
      <c r="E110" s="200"/>
      <c r="G110" s="155"/>
      <c r="H110" s="91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5">
        <f t="shared" si="28"/>
        <v>0</v>
      </c>
      <c r="V110" s="36"/>
      <c r="W110" s="36"/>
      <c r="X110" s="36"/>
      <c r="Y110" s="36"/>
      <c r="Z110" s="36"/>
      <c r="AA110" s="36">
        <f t="shared" si="19"/>
        <v>0</v>
      </c>
      <c r="AB110" s="37"/>
      <c r="AC110" s="37">
        <f t="shared" si="20"/>
        <v>0</v>
      </c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>
        <f t="shared" si="21"/>
        <v>0</v>
      </c>
    </row>
    <row r="111" spans="3:47" ht="12.75" hidden="1">
      <c r="C111" s="190" t="s">
        <v>955</v>
      </c>
      <c r="D111" s="233">
        <v>0.125</v>
      </c>
      <c r="E111" s="200"/>
      <c r="G111" s="155"/>
      <c r="H111" s="91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0.017857142857142856</v>
      </c>
      <c r="N111" s="13">
        <v>0.017857142857142856</v>
      </c>
      <c r="O111" s="13">
        <v>0.017857142857142856</v>
      </c>
      <c r="P111" s="13">
        <v>0.017857142857142856</v>
      </c>
      <c r="Q111" s="13">
        <v>0.017857142857142856</v>
      </c>
      <c r="R111" s="13">
        <v>0.017857142857142856</v>
      </c>
      <c r="S111" s="13">
        <v>0.017857142857142856</v>
      </c>
      <c r="T111" s="5">
        <f t="shared" si="28"/>
        <v>0.03571428571428571</v>
      </c>
      <c r="V111" s="36"/>
      <c r="W111" s="36"/>
      <c r="X111" s="36"/>
      <c r="Y111" s="36"/>
      <c r="Z111" s="36"/>
      <c r="AA111" s="36">
        <f t="shared" si="19"/>
        <v>0.125</v>
      </c>
      <c r="AB111" s="37"/>
      <c r="AC111" s="37">
        <f t="shared" si="20"/>
        <v>0.125</v>
      </c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>
        <v>0.125</v>
      </c>
      <c r="AS111" s="37"/>
      <c r="AT111" s="37"/>
      <c r="AU111" s="37">
        <f t="shared" si="21"/>
        <v>0.125</v>
      </c>
    </row>
    <row r="112" spans="2:47" ht="12.75" hidden="1">
      <c r="B112" s="33" t="s">
        <v>1021</v>
      </c>
      <c r="C112" s="190" t="s">
        <v>956</v>
      </c>
      <c r="D112" s="233">
        <v>0.109</v>
      </c>
      <c r="E112" s="200"/>
      <c r="G112" s="155">
        <v>0.089</v>
      </c>
      <c r="H112" s="91">
        <v>0.089</v>
      </c>
      <c r="I112" s="13">
        <v>0</v>
      </c>
      <c r="J112" s="13">
        <v>0</v>
      </c>
      <c r="K112" s="13">
        <v>0</v>
      </c>
      <c r="L112" s="13">
        <v>0</v>
      </c>
      <c r="M112" s="13">
        <v>0.0028571428571428576</v>
      </c>
      <c r="N112" s="13">
        <v>0.0028571428571428576</v>
      </c>
      <c r="O112" s="13">
        <v>0.0028571428571428576</v>
      </c>
      <c r="P112" s="13">
        <v>0.0028571428571428576</v>
      </c>
      <c r="Q112" s="13">
        <v>0.0028571428571428576</v>
      </c>
      <c r="R112" s="13">
        <v>0.0028571428571428576</v>
      </c>
      <c r="S112" s="13">
        <v>0.0028571428571428576</v>
      </c>
      <c r="T112" s="5">
        <f t="shared" si="28"/>
        <v>0.09471428571428572</v>
      </c>
      <c r="V112" s="36"/>
      <c r="W112" s="36"/>
      <c r="X112" s="36"/>
      <c r="Y112" s="36"/>
      <c r="Z112" s="36">
        <v>0.07</v>
      </c>
      <c r="AA112" s="36">
        <f t="shared" si="19"/>
        <v>0.039</v>
      </c>
      <c r="AB112" s="37"/>
      <c r="AC112" s="37">
        <f t="shared" si="20"/>
        <v>0.10900000000000001</v>
      </c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>
        <v>0.039</v>
      </c>
      <c r="AS112" s="37"/>
      <c r="AT112" s="37"/>
      <c r="AU112" s="37">
        <f t="shared" si="21"/>
        <v>0.039</v>
      </c>
    </row>
    <row r="113" spans="3:47" ht="12.75" hidden="1">
      <c r="C113" s="190" t="s">
        <v>957</v>
      </c>
      <c r="D113" s="233">
        <v>0.149</v>
      </c>
      <c r="E113" s="200"/>
      <c r="G113" s="155">
        <v>0.003</v>
      </c>
      <c r="H113" s="91">
        <v>0.001</v>
      </c>
      <c r="I113" s="13">
        <v>0</v>
      </c>
      <c r="J113" s="13">
        <v>0</v>
      </c>
      <c r="K113" s="13">
        <v>0</v>
      </c>
      <c r="L113" s="13">
        <v>0</v>
      </c>
      <c r="M113" s="13">
        <v>0.02114285714285714</v>
      </c>
      <c r="N113" s="13">
        <v>0.02114285714285714</v>
      </c>
      <c r="O113" s="13">
        <v>0.02114285714285714</v>
      </c>
      <c r="P113" s="13">
        <v>0.02114285714285714</v>
      </c>
      <c r="Q113" s="13">
        <v>0.02114285714285714</v>
      </c>
      <c r="R113" s="13">
        <v>0.02114285714285714</v>
      </c>
      <c r="S113" s="13">
        <v>0.02114285714285714</v>
      </c>
      <c r="T113" s="5">
        <f t="shared" si="28"/>
        <v>0.04328571428571428</v>
      </c>
      <c r="V113" s="36"/>
      <c r="W113" s="36"/>
      <c r="X113" s="36"/>
      <c r="Y113" s="36"/>
      <c r="Z113" s="36">
        <v>0.031</v>
      </c>
      <c r="AA113" s="36">
        <f t="shared" si="19"/>
        <v>0.118</v>
      </c>
      <c r="AB113" s="37"/>
      <c r="AC113" s="37">
        <f t="shared" si="20"/>
        <v>0.149</v>
      </c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>
        <v>0.118</v>
      </c>
      <c r="AS113" s="37"/>
      <c r="AT113" s="37"/>
      <c r="AU113" s="37">
        <f t="shared" si="21"/>
        <v>0.118</v>
      </c>
    </row>
    <row r="114" spans="2:47" ht="12.75" hidden="1">
      <c r="B114" s="33" t="s">
        <v>1032</v>
      </c>
      <c r="C114" s="190" t="s">
        <v>958</v>
      </c>
      <c r="D114" s="233">
        <v>0.417</v>
      </c>
      <c r="E114" s="200"/>
      <c r="G114" s="155">
        <v>0.174</v>
      </c>
      <c r="H114" s="91">
        <v>0.085</v>
      </c>
      <c r="I114" s="13">
        <v>0</v>
      </c>
      <c r="J114" s="13">
        <v>0</v>
      </c>
      <c r="K114" s="13">
        <v>0</v>
      </c>
      <c r="L114" s="13">
        <v>0</v>
      </c>
      <c r="M114" s="13">
        <v>0.04714285714285714</v>
      </c>
      <c r="N114" s="13">
        <v>0.04714285714285714</v>
      </c>
      <c r="O114" s="13">
        <v>0.04714285714285714</v>
      </c>
      <c r="P114" s="13">
        <v>0.04714285714285714</v>
      </c>
      <c r="Q114" s="13">
        <v>0.04714285714285714</v>
      </c>
      <c r="R114" s="13">
        <v>0.04714285714285714</v>
      </c>
      <c r="S114" s="13">
        <v>0.04714285714285714</v>
      </c>
      <c r="T114" s="5">
        <f t="shared" si="28"/>
        <v>0.17928571428571427</v>
      </c>
      <c r="V114" s="36"/>
      <c r="W114" s="36"/>
      <c r="X114" s="36"/>
      <c r="Y114" s="36"/>
      <c r="Z114" s="36">
        <v>0.225</v>
      </c>
      <c r="AA114" s="36">
        <f t="shared" si="19"/>
        <v>0.192</v>
      </c>
      <c r="AB114" s="37"/>
      <c r="AC114" s="37">
        <f t="shared" si="20"/>
        <v>0.41700000000000004</v>
      </c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>
        <v>0.192</v>
      </c>
      <c r="AS114" s="37"/>
      <c r="AT114" s="37"/>
      <c r="AU114" s="37">
        <f t="shared" si="21"/>
        <v>0.192</v>
      </c>
    </row>
    <row r="115" spans="3:47" ht="12.75" hidden="1">
      <c r="C115" s="190" t="s">
        <v>959</v>
      </c>
      <c r="D115" s="233">
        <v>0.224</v>
      </c>
      <c r="E115" s="200"/>
      <c r="G115" s="155">
        <v>0.01</v>
      </c>
      <c r="H115" s="91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0.015714285714285715</v>
      </c>
      <c r="N115" s="13">
        <v>0.015714285714285715</v>
      </c>
      <c r="O115" s="13">
        <v>0.015714285714285715</v>
      </c>
      <c r="P115" s="13">
        <v>0.015714285714285715</v>
      </c>
      <c r="Q115" s="13">
        <v>0.015714285714285715</v>
      </c>
      <c r="R115" s="13">
        <v>0.015714285714285715</v>
      </c>
      <c r="S115" s="13">
        <v>0.015714285714285715</v>
      </c>
      <c r="T115" s="5">
        <f t="shared" si="28"/>
        <v>0.03142857142857143</v>
      </c>
      <c r="V115" s="36"/>
      <c r="W115" s="36"/>
      <c r="X115" s="36"/>
      <c r="Y115" s="36"/>
      <c r="Z115" s="36">
        <v>0.129</v>
      </c>
      <c r="AA115" s="36">
        <f t="shared" si="19"/>
        <v>0.095</v>
      </c>
      <c r="AB115" s="37"/>
      <c r="AC115" s="37">
        <f t="shared" si="20"/>
        <v>0.224</v>
      </c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>
        <v>0.095</v>
      </c>
      <c r="AS115" s="37"/>
      <c r="AT115" s="37"/>
      <c r="AU115" s="37">
        <f t="shared" si="21"/>
        <v>0.095</v>
      </c>
    </row>
    <row r="116" spans="3:47" ht="12.75" hidden="1">
      <c r="C116" s="190" t="s">
        <v>960</v>
      </c>
      <c r="D116" s="233">
        <v>0.12</v>
      </c>
      <c r="E116" s="200"/>
      <c r="G116" s="155"/>
      <c r="H116" s="91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0.017142857142857144</v>
      </c>
      <c r="N116" s="13">
        <v>0.017142857142857144</v>
      </c>
      <c r="O116" s="13">
        <v>0.017142857142857144</v>
      </c>
      <c r="P116" s="13">
        <v>0.017142857142857144</v>
      </c>
      <c r="Q116" s="13">
        <v>0.017142857142857144</v>
      </c>
      <c r="R116" s="13">
        <v>0.017142857142857144</v>
      </c>
      <c r="S116" s="13">
        <v>0.017142857142857144</v>
      </c>
      <c r="T116" s="5">
        <f t="shared" si="28"/>
        <v>0.03428571428571429</v>
      </c>
      <c r="V116" s="36"/>
      <c r="W116" s="36"/>
      <c r="X116" s="36"/>
      <c r="Y116" s="36"/>
      <c r="Z116" s="36"/>
      <c r="AA116" s="36">
        <f t="shared" si="19"/>
        <v>0.12</v>
      </c>
      <c r="AB116" s="37"/>
      <c r="AC116" s="37">
        <f t="shared" si="20"/>
        <v>0.12</v>
      </c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>
        <v>0.12</v>
      </c>
      <c r="AS116" s="37"/>
      <c r="AT116" s="37"/>
      <c r="AU116" s="37">
        <f t="shared" si="21"/>
        <v>0.12</v>
      </c>
    </row>
    <row r="117" spans="3:47" ht="12.75" hidden="1">
      <c r="C117" s="190" t="s">
        <v>21</v>
      </c>
      <c r="D117" s="233">
        <v>0.003</v>
      </c>
      <c r="E117" s="200"/>
      <c r="G117" s="155">
        <v>0.003</v>
      </c>
      <c r="H117" s="91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5"/>
      <c r="V117" s="36"/>
      <c r="W117" s="36"/>
      <c r="X117" s="36"/>
      <c r="Y117" s="36"/>
      <c r="Z117" s="36">
        <v>0.003</v>
      </c>
      <c r="AA117" s="36">
        <f>AU117</f>
        <v>0</v>
      </c>
      <c r="AB117" s="37"/>
      <c r="AC117" s="37">
        <f>SUM(V117:AB117)</f>
        <v>0.003</v>
      </c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</row>
    <row r="118" spans="3:47" ht="12.75" hidden="1">
      <c r="C118" s="190" t="s">
        <v>22</v>
      </c>
      <c r="D118" s="233">
        <v>0.002</v>
      </c>
      <c r="E118" s="200"/>
      <c r="G118" s="155">
        <v>0.002</v>
      </c>
      <c r="H118" s="91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5"/>
      <c r="V118" s="36"/>
      <c r="W118" s="36"/>
      <c r="X118" s="36"/>
      <c r="Y118" s="36"/>
      <c r="Z118" s="36">
        <v>0.002</v>
      </c>
      <c r="AA118" s="36">
        <f>AU118</f>
        <v>0</v>
      </c>
      <c r="AB118" s="37"/>
      <c r="AC118" s="37">
        <f>SUM(V118:AB118)</f>
        <v>0.002</v>
      </c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</row>
    <row r="119" spans="2:47" ht="12.75" hidden="1">
      <c r="B119" s="33" t="s">
        <v>1022</v>
      </c>
      <c r="C119" s="190" t="s">
        <v>961</v>
      </c>
      <c r="D119" s="233">
        <v>0.09</v>
      </c>
      <c r="E119" s="200"/>
      <c r="G119" s="155">
        <v>0.055</v>
      </c>
      <c r="H119" s="91">
        <v>0.033</v>
      </c>
      <c r="I119" s="13">
        <v>0</v>
      </c>
      <c r="J119" s="13">
        <v>0</v>
      </c>
      <c r="K119" s="13">
        <v>0</v>
      </c>
      <c r="L119" s="13">
        <v>0</v>
      </c>
      <c r="M119" s="13">
        <v>0.004857142857142858</v>
      </c>
      <c r="N119" s="13">
        <v>0.004857142857142858</v>
      </c>
      <c r="O119" s="13">
        <v>0.004857142857142858</v>
      </c>
      <c r="P119" s="13">
        <v>0.004857142857142858</v>
      </c>
      <c r="Q119" s="13">
        <v>0.004857142857142858</v>
      </c>
      <c r="R119" s="13">
        <v>0.004857142857142858</v>
      </c>
      <c r="S119" s="13">
        <v>0.004857142857142858</v>
      </c>
      <c r="T119" s="5">
        <f t="shared" si="28"/>
        <v>0.04271428571428572</v>
      </c>
      <c r="V119" s="36"/>
      <c r="W119" s="36"/>
      <c r="X119" s="36"/>
      <c r="Y119" s="36"/>
      <c r="Z119" s="36">
        <v>0.09</v>
      </c>
      <c r="AA119" s="36">
        <f t="shared" si="19"/>
        <v>0</v>
      </c>
      <c r="AB119" s="37"/>
      <c r="AC119" s="37">
        <f t="shared" si="20"/>
        <v>0.09</v>
      </c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>
        <f t="shared" si="21"/>
        <v>0</v>
      </c>
    </row>
    <row r="120" spans="2:47" ht="12.75" hidden="1">
      <c r="B120" s="33" t="s">
        <v>1023</v>
      </c>
      <c r="C120" s="190" t="s">
        <v>962</v>
      </c>
      <c r="D120" s="233">
        <v>0.149</v>
      </c>
      <c r="E120" s="200"/>
      <c r="G120" s="155">
        <v>0.145</v>
      </c>
      <c r="H120" s="91">
        <v>0.113</v>
      </c>
      <c r="I120" s="13">
        <v>0</v>
      </c>
      <c r="J120" s="13">
        <v>0</v>
      </c>
      <c r="K120" s="13">
        <v>0</v>
      </c>
      <c r="L120" s="13">
        <v>0</v>
      </c>
      <c r="M120" s="13">
        <v>0.004285714285714283</v>
      </c>
      <c r="N120" s="13">
        <v>0.004285714285714283</v>
      </c>
      <c r="O120" s="13">
        <v>0.004285714285714283</v>
      </c>
      <c r="P120" s="13">
        <v>0.004285714285714283</v>
      </c>
      <c r="Q120" s="13">
        <v>0.004285714285714283</v>
      </c>
      <c r="R120" s="13">
        <v>0.004285714285714283</v>
      </c>
      <c r="S120" s="13">
        <v>0.004285714285714283</v>
      </c>
      <c r="T120" s="5">
        <f t="shared" si="28"/>
        <v>0.12157142857142857</v>
      </c>
      <c r="V120" s="36"/>
      <c r="W120" s="36"/>
      <c r="X120" s="36"/>
      <c r="Y120" s="36"/>
      <c r="Z120" s="36">
        <v>0.149</v>
      </c>
      <c r="AA120" s="36">
        <f t="shared" si="19"/>
        <v>0</v>
      </c>
      <c r="AB120" s="37"/>
      <c r="AC120" s="37">
        <f t="shared" si="20"/>
        <v>0.149</v>
      </c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>
        <f t="shared" si="21"/>
        <v>0</v>
      </c>
    </row>
    <row r="121" spans="2:47" ht="12.75" hidden="1">
      <c r="B121" s="33" t="s">
        <v>1024</v>
      </c>
      <c r="C121" s="190" t="s">
        <v>963</v>
      </c>
      <c r="D121" s="233">
        <v>0.014</v>
      </c>
      <c r="E121" s="200"/>
      <c r="G121" s="155">
        <v>0.01</v>
      </c>
      <c r="H121" s="91">
        <v>0.009</v>
      </c>
      <c r="I121" s="13">
        <v>0</v>
      </c>
      <c r="J121" s="13">
        <v>0</v>
      </c>
      <c r="K121" s="13">
        <v>0</v>
      </c>
      <c r="L121" s="13">
        <v>0</v>
      </c>
      <c r="M121" s="13">
        <v>0.0007142857142857144</v>
      </c>
      <c r="N121" s="13">
        <v>0.0007142857142857144</v>
      </c>
      <c r="O121" s="13">
        <v>0.0007142857142857144</v>
      </c>
      <c r="P121" s="13">
        <v>0.0007142857142857144</v>
      </c>
      <c r="Q121" s="13">
        <v>0.0007142857142857144</v>
      </c>
      <c r="R121" s="13">
        <v>0.0007142857142857144</v>
      </c>
      <c r="S121" s="13">
        <v>0.0007142857142857144</v>
      </c>
      <c r="T121" s="5">
        <f t="shared" si="28"/>
        <v>0.010428571428571428</v>
      </c>
      <c r="V121" s="36"/>
      <c r="W121" s="36"/>
      <c r="X121" s="36"/>
      <c r="Y121" s="36"/>
      <c r="Z121" s="36">
        <v>0.014</v>
      </c>
      <c r="AA121" s="36">
        <f t="shared" si="19"/>
        <v>0</v>
      </c>
      <c r="AB121" s="37"/>
      <c r="AC121" s="37">
        <f t="shared" si="20"/>
        <v>0.014</v>
      </c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>
        <f t="shared" si="21"/>
        <v>0</v>
      </c>
    </row>
    <row r="122" spans="3:47" ht="12.75" hidden="1">
      <c r="C122" s="190" t="s">
        <v>1085</v>
      </c>
      <c r="D122" s="233">
        <v>0.012</v>
      </c>
      <c r="E122" s="200"/>
      <c r="G122" s="155">
        <v>0.012</v>
      </c>
      <c r="H122" s="91">
        <v>0.012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5">
        <f t="shared" si="28"/>
        <v>0.012</v>
      </c>
      <c r="V122" s="36"/>
      <c r="W122" s="36"/>
      <c r="X122" s="36"/>
      <c r="Y122" s="36"/>
      <c r="Z122" s="36">
        <v>0.012</v>
      </c>
      <c r="AA122" s="36">
        <f>AU122</f>
        <v>0</v>
      </c>
      <c r="AB122" s="37"/>
      <c r="AC122" s="37">
        <f>SUM(V122:AB122)</f>
        <v>0.012</v>
      </c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</row>
    <row r="123" spans="3:47" ht="12.75" hidden="1">
      <c r="C123" s="190" t="s">
        <v>964</v>
      </c>
      <c r="D123" s="233">
        <v>0.055</v>
      </c>
      <c r="E123" s="200"/>
      <c r="G123" s="155"/>
      <c r="H123" s="91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0.012142857142857144</v>
      </c>
      <c r="N123" s="13">
        <v>0.012142857142857144</v>
      </c>
      <c r="O123" s="13">
        <v>0.012142857142857144</v>
      </c>
      <c r="P123" s="13">
        <v>0.012142857142857144</v>
      </c>
      <c r="Q123" s="13">
        <v>0.012142857142857144</v>
      </c>
      <c r="R123" s="13">
        <v>0.012142857142857144</v>
      </c>
      <c r="S123" s="13">
        <v>0.012142857142857144</v>
      </c>
      <c r="T123" s="5">
        <f t="shared" si="28"/>
        <v>0.02428571428571429</v>
      </c>
      <c r="V123" s="36"/>
      <c r="W123" s="36"/>
      <c r="X123" s="36"/>
      <c r="Y123" s="36"/>
      <c r="Z123" s="36">
        <v>0.055</v>
      </c>
      <c r="AA123" s="36">
        <f t="shared" si="19"/>
        <v>0</v>
      </c>
      <c r="AB123" s="37"/>
      <c r="AC123" s="37">
        <f t="shared" si="20"/>
        <v>0.055</v>
      </c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>
        <f t="shared" si="21"/>
        <v>0</v>
      </c>
    </row>
    <row r="124" spans="2:47" ht="12.75">
      <c r="B124" s="252" t="s">
        <v>1460</v>
      </c>
      <c r="C124" s="84" t="s">
        <v>1006</v>
      </c>
      <c r="D124" s="233">
        <f>SUM(D125:D137)</f>
        <v>0.473</v>
      </c>
      <c r="E124" s="200"/>
      <c r="G124" s="233">
        <f>SUM(G125:G137)</f>
        <v>0.14600000000000002</v>
      </c>
      <c r="H124" s="236">
        <f aca="true" t="shared" si="29" ref="H124:AU124">SUM(H125:H137)</f>
        <v>0.133</v>
      </c>
      <c r="I124" s="237">
        <f t="shared" si="29"/>
        <v>0</v>
      </c>
      <c r="J124" s="237">
        <f t="shared" si="29"/>
        <v>0</v>
      </c>
      <c r="K124" s="237">
        <f aca="true" t="shared" si="30" ref="K124:T124">SUM(K125:K137)</f>
        <v>0</v>
      </c>
      <c r="L124" s="237">
        <f t="shared" si="30"/>
        <v>0</v>
      </c>
      <c r="M124" s="237">
        <f t="shared" si="30"/>
        <v>0.038</v>
      </c>
      <c r="N124" s="237">
        <f t="shared" si="30"/>
        <v>0.038</v>
      </c>
      <c r="O124" s="237">
        <f t="shared" si="30"/>
        <v>0.038</v>
      </c>
      <c r="P124" s="237">
        <f t="shared" si="30"/>
        <v>0.038</v>
      </c>
      <c r="Q124" s="237">
        <f t="shared" si="30"/>
        <v>0.038</v>
      </c>
      <c r="R124" s="237">
        <f t="shared" si="30"/>
        <v>0.038</v>
      </c>
      <c r="S124" s="237">
        <f t="shared" si="30"/>
        <v>0.038</v>
      </c>
      <c r="T124" s="233">
        <f t="shared" si="30"/>
        <v>0.20900000000000002</v>
      </c>
      <c r="U124" s="237"/>
      <c r="V124" s="239">
        <f t="shared" si="29"/>
        <v>0</v>
      </c>
      <c r="W124" s="239">
        <f t="shared" si="29"/>
        <v>0</v>
      </c>
      <c r="X124" s="239">
        <f t="shared" si="29"/>
        <v>0</v>
      </c>
      <c r="Y124" s="239">
        <f t="shared" si="29"/>
        <v>0</v>
      </c>
      <c r="Z124" s="239">
        <f t="shared" si="29"/>
        <v>0.045</v>
      </c>
      <c r="AA124" s="239">
        <f t="shared" si="29"/>
        <v>0.42800000000000005</v>
      </c>
      <c r="AB124" s="239">
        <f t="shared" si="29"/>
        <v>0</v>
      </c>
      <c r="AC124" s="239">
        <f t="shared" si="29"/>
        <v>0.473</v>
      </c>
      <c r="AD124" s="237"/>
      <c r="AE124" s="239">
        <f t="shared" si="29"/>
        <v>0</v>
      </c>
      <c r="AF124" s="239">
        <f t="shared" si="29"/>
        <v>0.1</v>
      </c>
      <c r="AG124" s="239">
        <f t="shared" si="29"/>
        <v>0</v>
      </c>
      <c r="AH124" s="239">
        <f t="shared" si="29"/>
        <v>0</v>
      </c>
      <c r="AI124" s="239">
        <f t="shared" si="29"/>
        <v>0</v>
      </c>
      <c r="AJ124" s="239">
        <f t="shared" si="29"/>
        <v>0</v>
      </c>
      <c r="AK124" s="239">
        <f t="shared" si="29"/>
        <v>0</v>
      </c>
      <c r="AL124" s="239">
        <f t="shared" si="29"/>
        <v>0</v>
      </c>
      <c r="AM124" s="239">
        <f t="shared" si="29"/>
        <v>0</v>
      </c>
      <c r="AN124" s="239">
        <f t="shared" si="29"/>
        <v>0</v>
      </c>
      <c r="AO124" s="239">
        <f t="shared" si="29"/>
        <v>0</v>
      </c>
      <c r="AP124" s="239">
        <f t="shared" si="29"/>
        <v>0</v>
      </c>
      <c r="AQ124" s="239">
        <f t="shared" si="29"/>
        <v>0</v>
      </c>
      <c r="AR124" s="239">
        <f t="shared" si="29"/>
        <v>0.328</v>
      </c>
      <c r="AS124" s="239">
        <f t="shared" si="29"/>
        <v>0</v>
      </c>
      <c r="AT124" s="239">
        <f t="shared" si="29"/>
        <v>0</v>
      </c>
      <c r="AU124" s="239">
        <f t="shared" si="29"/>
        <v>0.42800000000000005</v>
      </c>
    </row>
    <row r="125" spans="2:47" ht="12.75" hidden="1">
      <c r="B125" s="33" t="s">
        <v>1025</v>
      </c>
      <c r="C125" s="190" t="s">
        <v>965</v>
      </c>
      <c r="D125" s="233">
        <v>0.063</v>
      </c>
      <c r="E125" s="200"/>
      <c r="G125" s="155">
        <v>0.021</v>
      </c>
      <c r="H125" s="91">
        <v>0.018</v>
      </c>
      <c r="I125" s="13">
        <v>0</v>
      </c>
      <c r="J125" s="13">
        <v>0</v>
      </c>
      <c r="K125" s="13">
        <v>0</v>
      </c>
      <c r="L125" s="13">
        <v>0</v>
      </c>
      <c r="M125" s="13">
        <v>0.0064285714285714285</v>
      </c>
      <c r="N125" s="13">
        <v>0.0064285714285714285</v>
      </c>
      <c r="O125" s="13">
        <v>0.0064285714285714285</v>
      </c>
      <c r="P125" s="13">
        <v>0.0064285714285714285</v>
      </c>
      <c r="Q125" s="13">
        <v>0.0064285714285714285</v>
      </c>
      <c r="R125" s="13">
        <v>0.0064285714285714285</v>
      </c>
      <c r="S125" s="13">
        <v>0.0064285714285714285</v>
      </c>
      <c r="T125" s="5">
        <f aca="true" t="shared" si="31" ref="T125:T134">SUM(H125:N125)</f>
        <v>0.030857142857142857</v>
      </c>
      <c r="V125" s="36"/>
      <c r="W125" s="36"/>
      <c r="X125" s="36"/>
      <c r="Y125" s="36"/>
      <c r="Z125" s="36"/>
      <c r="AA125" s="36">
        <f t="shared" si="19"/>
        <v>0.063</v>
      </c>
      <c r="AB125" s="37"/>
      <c r="AC125" s="37">
        <f t="shared" si="20"/>
        <v>0.063</v>
      </c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>
        <v>0.063</v>
      </c>
      <c r="AS125" s="37"/>
      <c r="AT125" s="37"/>
      <c r="AU125" s="37">
        <f t="shared" si="21"/>
        <v>0.063</v>
      </c>
    </row>
    <row r="126" spans="3:47" ht="12.75" hidden="1">
      <c r="C126" s="190" t="s">
        <v>1086</v>
      </c>
      <c r="D126" s="233">
        <v>0.08</v>
      </c>
      <c r="E126" s="200"/>
      <c r="G126" s="155"/>
      <c r="H126" s="91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0.011428571428571429</v>
      </c>
      <c r="N126" s="13">
        <v>0.011428571428571429</v>
      </c>
      <c r="O126" s="13">
        <v>0.011428571428571429</v>
      </c>
      <c r="P126" s="13">
        <v>0.011428571428571429</v>
      </c>
      <c r="Q126" s="13">
        <v>0.011428571428571429</v>
      </c>
      <c r="R126" s="13">
        <v>0.011428571428571429</v>
      </c>
      <c r="S126" s="13">
        <v>0.011428571428571429</v>
      </c>
      <c r="T126" s="5">
        <f t="shared" si="31"/>
        <v>0.022857142857142857</v>
      </c>
      <c r="V126" s="36"/>
      <c r="W126" s="36"/>
      <c r="X126" s="36"/>
      <c r="Y126" s="36"/>
      <c r="Z126" s="36"/>
      <c r="AA126" s="36">
        <f>AU126</f>
        <v>0.08</v>
      </c>
      <c r="AB126" s="37"/>
      <c r="AC126" s="37">
        <f>SUM(V126:AB126)</f>
        <v>0.08</v>
      </c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>
        <v>0.08</v>
      </c>
      <c r="AS126" s="37"/>
      <c r="AT126" s="37"/>
      <c r="AU126" s="37">
        <f t="shared" si="21"/>
        <v>0.08</v>
      </c>
    </row>
    <row r="127" spans="3:47" ht="12.75" hidden="1">
      <c r="C127" s="190" t="s">
        <v>1087</v>
      </c>
      <c r="D127" s="233">
        <v>0.1</v>
      </c>
      <c r="E127" s="200"/>
      <c r="G127" s="155"/>
      <c r="H127" s="91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0.014285714285714287</v>
      </c>
      <c r="N127" s="13">
        <v>0.014285714285714287</v>
      </c>
      <c r="O127" s="13">
        <v>0.014285714285714287</v>
      </c>
      <c r="P127" s="13">
        <v>0.014285714285714287</v>
      </c>
      <c r="Q127" s="13">
        <v>0.014285714285714287</v>
      </c>
      <c r="R127" s="13">
        <v>0.014285714285714287</v>
      </c>
      <c r="S127" s="13">
        <v>0.014285714285714287</v>
      </c>
      <c r="T127" s="5">
        <f t="shared" si="31"/>
        <v>0.028571428571428574</v>
      </c>
      <c r="V127" s="36"/>
      <c r="W127" s="36"/>
      <c r="X127" s="36"/>
      <c r="Y127" s="36"/>
      <c r="Z127" s="36"/>
      <c r="AA127" s="36">
        <f>AU127</f>
        <v>0.1</v>
      </c>
      <c r="AB127" s="37"/>
      <c r="AC127" s="37">
        <f>SUM(V127:AB127)</f>
        <v>0.1</v>
      </c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>
        <v>0.1</v>
      </c>
      <c r="AS127" s="37"/>
      <c r="AT127" s="37"/>
      <c r="AU127" s="37">
        <f t="shared" si="21"/>
        <v>0.1</v>
      </c>
    </row>
    <row r="128" spans="3:47" ht="12.75" hidden="1">
      <c r="C128" s="190" t="s">
        <v>966</v>
      </c>
      <c r="D128" s="233">
        <v>0</v>
      </c>
      <c r="E128" s="200"/>
      <c r="G128" s="155"/>
      <c r="H128" s="91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5">
        <f t="shared" si="31"/>
        <v>0</v>
      </c>
      <c r="V128" s="36"/>
      <c r="W128" s="36"/>
      <c r="X128" s="36"/>
      <c r="Y128" s="36"/>
      <c r="Z128" s="36"/>
      <c r="AA128" s="36">
        <f t="shared" si="19"/>
        <v>0</v>
      </c>
      <c r="AB128" s="37"/>
      <c r="AC128" s="37">
        <f t="shared" si="20"/>
        <v>0</v>
      </c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>
        <f t="shared" si="21"/>
        <v>0</v>
      </c>
    </row>
    <row r="129" spans="2:47" ht="12.75" hidden="1">
      <c r="B129" s="33" t="s">
        <v>1026</v>
      </c>
      <c r="C129" s="190" t="s">
        <v>967</v>
      </c>
      <c r="D129" s="233">
        <v>0.026</v>
      </c>
      <c r="E129" s="200"/>
      <c r="G129" s="155">
        <v>0.023</v>
      </c>
      <c r="H129" s="91">
        <v>0.018</v>
      </c>
      <c r="I129" s="13">
        <v>0</v>
      </c>
      <c r="J129" s="13">
        <v>0</v>
      </c>
      <c r="K129" s="13">
        <v>0</v>
      </c>
      <c r="L129" s="13">
        <v>0</v>
      </c>
      <c r="M129" s="13">
        <v>0.001142857142857143</v>
      </c>
      <c r="N129" s="13">
        <v>0.001142857142857143</v>
      </c>
      <c r="O129" s="13">
        <v>0.001142857142857143</v>
      </c>
      <c r="P129" s="13">
        <v>0.001142857142857143</v>
      </c>
      <c r="Q129" s="13">
        <v>0.001142857142857143</v>
      </c>
      <c r="R129" s="13">
        <v>0.001142857142857143</v>
      </c>
      <c r="S129" s="13">
        <v>0.001142857142857143</v>
      </c>
      <c r="T129" s="5">
        <f t="shared" si="31"/>
        <v>0.020285714285714285</v>
      </c>
      <c r="V129" s="36"/>
      <c r="W129" s="36"/>
      <c r="X129" s="36"/>
      <c r="Y129" s="36"/>
      <c r="Z129" s="36"/>
      <c r="AA129" s="36">
        <f t="shared" si="19"/>
        <v>0.026</v>
      </c>
      <c r="AB129" s="37"/>
      <c r="AC129" s="37">
        <f t="shared" si="20"/>
        <v>0.026</v>
      </c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>
        <v>0.026</v>
      </c>
      <c r="AS129" s="37"/>
      <c r="AT129" s="37"/>
      <c r="AU129" s="37">
        <f t="shared" si="21"/>
        <v>0.026</v>
      </c>
    </row>
    <row r="130" spans="3:47" ht="12.75" hidden="1">
      <c r="C130" s="190" t="s">
        <v>968</v>
      </c>
      <c r="D130" s="233">
        <v>0</v>
      </c>
      <c r="E130" s="200"/>
      <c r="G130" s="155"/>
      <c r="H130" s="91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5">
        <f t="shared" si="31"/>
        <v>0</v>
      </c>
      <c r="V130" s="36"/>
      <c r="W130" s="36"/>
      <c r="X130" s="36"/>
      <c r="Y130" s="36"/>
      <c r="Z130" s="36"/>
      <c r="AA130" s="36">
        <f t="shared" si="19"/>
        <v>0</v>
      </c>
      <c r="AB130" s="37"/>
      <c r="AC130" s="37">
        <f t="shared" si="20"/>
        <v>0</v>
      </c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>
        <f t="shared" si="21"/>
        <v>0</v>
      </c>
    </row>
    <row r="131" spans="2:47" ht="12.75" hidden="1">
      <c r="B131" s="33" t="s">
        <v>1027</v>
      </c>
      <c r="C131" s="190" t="s">
        <v>969</v>
      </c>
      <c r="D131" s="233">
        <v>0.098</v>
      </c>
      <c r="E131" s="200"/>
      <c r="G131" s="155">
        <v>0.096</v>
      </c>
      <c r="H131" s="91">
        <v>0.095</v>
      </c>
      <c r="I131" s="13">
        <v>0</v>
      </c>
      <c r="J131" s="13">
        <v>0</v>
      </c>
      <c r="K131" s="13">
        <v>0</v>
      </c>
      <c r="L131" s="13">
        <v>0</v>
      </c>
      <c r="M131" s="13">
        <v>0.00042857142857142893</v>
      </c>
      <c r="N131" s="13">
        <v>0.00042857142857142893</v>
      </c>
      <c r="O131" s="13">
        <v>0.00042857142857142893</v>
      </c>
      <c r="P131" s="13">
        <v>0.00042857142857142893</v>
      </c>
      <c r="Q131" s="13">
        <v>0.00042857142857142893</v>
      </c>
      <c r="R131" s="13">
        <v>0.00042857142857142893</v>
      </c>
      <c r="S131" s="13">
        <v>0.00042857142857142893</v>
      </c>
      <c r="T131" s="5">
        <f t="shared" si="31"/>
        <v>0.09585714285714286</v>
      </c>
      <c r="V131" s="36"/>
      <c r="W131" s="36"/>
      <c r="X131" s="36"/>
      <c r="Y131" s="36"/>
      <c r="Z131" s="36">
        <v>0.041</v>
      </c>
      <c r="AA131" s="36">
        <f t="shared" si="19"/>
        <v>0.057</v>
      </c>
      <c r="AB131" s="37"/>
      <c r="AC131" s="37">
        <f t="shared" si="20"/>
        <v>0.098</v>
      </c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>
        <v>0.057</v>
      </c>
      <c r="AS131" s="37"/>
      <c r="AT131" s="37"/>
      <c r="AU131" s="37">
        <f t="shared" si="21"/>
        <v>0.057</v>
      </c>
    </row>
    <row r="132" spans="3:47" ht="12.75" hidden="1">
      <c r="C132" s="190" t="s">
        <v>970</v>
      </c>
      <c r="D132" s="233">
        <v>0</v>
      </c>
      <c r="E132" s="200"/>
      <c r="G132" s="155"/>
      <c r="H132" s="91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0.004285714285714286</v>
      </c>
      <c r="N132" s="13">
        <v>0.004285714285714286</v>
      </c>
      <c r="O132" s="13">
        <v>0.004285714285714286</v>
      </c>
      <c r="P132" s="13">
        <v>0.004285714285714286</v>
      </c>
      <c r="Q132" s="13">
        <v>0.004285714285714286</v>
      </c>
      <c r="R132" s="13">
        <v>0.004285714285714286</v>
      </c>
      <c r="S132" s="13">
        <v>0.004285714285714286</v>
      </c>
      <c r="T132" s="5">
        <f t="shared" si="31"/>
        <v>0.008571428571428572</v>
      </c>
      <c r="V132" s="36"/>
      <c r="W132" s="36"/>
      <c r="X132" s="36"/>
      <c r="Y132" s="36"/>
      <c r="Z132" s="36"/>
      <c r="AA132" s="36">
        <f aca="true" t="shared" si="32" ref="AA132:AA173">AU132</f>
        <v>0</v>
      </c>
      <c r="AB132" s="37"/>
      <c r="AC132" s="37">
        <f aca="true" t="shared" si="33" ref="AC132:AC172">SUM(V132:AB132)</f>
        <v>0</v>
      </c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>
        <f t="shared" si="21"/>
        <v>0</v>
      </c>
    </row>
    <row r="133" spans="3:47" ht="12.75" hidden="1">
      <c r="C133" s="190" t="s">
        <v>971</v>
      </c>
      <c r="D133" s="233">
        <v>0</v>
      </c>
      <c r="E133" s="200"/>
      <c r="G133" s="155"/>
      <c r="H133" s="91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5">
        <f t="shared" si="31"/>
        <v>0</v>
      </c>
      <c r="V133" s="36"/>
      <c r="W133" s="36"/>
      <c r="X133" s="36"/>
      <c r="Y133" s="36"/>
      <c r="Z133" s="36"/>
      <c r="AA133" s="36">
        <f t="shared" si="32"/>
        <v>0</v>
      </c>
      <c r="AB133" s="37"/>
      <c r="AC133" s="37">
        <f t="shared" si="33"/>
        <v>0</v>
      </c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>
        <f t="shared" si="21"/>
        <v>0</v>
      </c>
    </row>
    <row r="134" spans="3:47" ht="12.75" hidden="1">
      <c r="C134" s="190" t="s">
        <v>972</v>
      </c>
      <c r="D134" s="233">
        <v>0</v>
      </c>
      <c r="E134" s="200"/>
      <c r="G134" s="155"/>
      <c r="H134" s="91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5">
        <f t="shared" si="31"/>
        <v>0</v>
      </c>
      <c r="V134" s="36"/>
      <c r="W134" s="36"/>
      <c r="X134" s="36"/>
      <c r="Y134" s="36"/>
      <c r="Z134" s="36"/>
      <c r="AA134" s="36">
        <f t="shared" si="32"/>
        <v>0</v>
      </c>
      <c r="AB134" s="37"/>
      <c r="AC134" s="37">
        <f t="shared" si="33"/>
        <v>0</v>
      </c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>
        <f t="shared" si="21"/>
        <v>0</v>
      </c>
    </row>
    <row r="135" spans="3:47" ht="12.75" hidden="1">
      <c r="C135" s="190" t="s">
        <v>255</v>
      </c>
      <c r="D135" s="233">
        <v>0.1</v>
      </c>
      <c r="E135" s="200"/>
      <c r="G135" s="155"/>
      <c r="H135" s="91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5"/>
      <c r="V135" s="36"/>
      <c r="W135" s="36"/>
      <c r="X135" s="36"/>
      <c r="Y135" s="36"/>
      <c r="Z135" s="36"/>
      <c r="AA135" s="36">
        <f>AU135</f>
        <v>0.1</v>
      </c>
      <c r="AB135" s="37"/>
      <c r="AC135" s="37">
        <f>SUM(V135:AB135)</f>
        <v>0.1</v>
      </c>
      <c r="AE135" s="37"/>
      <c r="AF135" s="37">
        <v>0.1</v>
      </c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>
        <f t="shared" si="21"/>
        <v>0.1</v>
      </c>
    </row>
    <row r="136" spans="3:47" ht="12.75" hidden="1">
      <c r="C136" s="190" t="s">
        <v>23</v>
      </c>
      <c r="D136" s="233">
        <v>0.004</v>
      </c>
      <c r="E136" s="200"/>
      <c r="G136" s="155">
        <v>0.004</v>
      </c>
      <c r="H136" s="91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5"/>
      <c r="V136" s="36"/>
      <c r="W136" s="36"/>
      <c r="X136" s="36"/>
      <c r="Y136" s="36"/>
      <c r="Z136" s="36">
        <v>0.004</v>
      </c>
      <c r="AA136" s="36">
        <f>AU136</f>
        <v>0</v>
      </c>
      <c r="AB136" s="37"/>
      <c r="AC136" s="37">
        <f>SUM(V136:AB136)</f>
        <v>0.004</v>
      </c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</row>
    <row r="137" spans="3:47" ht="12.75" hidden="1">
      <c r="C137" s="190" t="s">
        <v>973</v>
      </c>
      <c r="D137" s="233">
        <v>0.002</v>
      </c>
      <c r="E137" s="200"/>
      <c r="G137" s="155">
        <v>0.002</v>
      </c>
      <c r="H137" s="91">
        <v>0.002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5">
        <f>SUM(H137:N137)</f>
        <v>0.002</v>
      </c>
      <c r="V137" s="36"/>
      <c r="W137" s="36"/>
      <c r="X137" s="36"/>
      <c r="Y137" s="36"/>
      <c r="Z137" s="36"/>
      <c r="AA137" s="36">
        <f t="shared" si="32"/>
        <v>0.002</v>
      </c>
      <c r="AB137" s="37"/>
      <c r="AC137" s="37">
        <f t="shared" si="33"/>
        <v>0.002</v>
      </c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>
        <v>0.002</v>
      </c>
      <c r="AS137" s="37"/>
      <c r="AT137" s="37"/>
      <c r="AU137" s="37">
        <f t="shared" si="21"/>
        <v>0.002</v>
      </c>
    </row>
    <row r="138" spans="2:47" ht="12.75">
      <c r="B138" s="252" t="s">
        <v>1460</v>
      </c>
      <c r="C138" s="190" t="s">
        <v>1007</v>
      </c>
      <c r="D138" s="233">
        <f>SUM(D139:D142)</f>
        <v>0.541</v>
      </c>
      <c r="E138" s="200"/>
      <c r="G138" s="233">
        <f>SUM(G139:G142)</f>
        <v>0.041</v>
      </c>
      <c r="H138" s="236">
        <f aca="true" t="shared" si="34" ref="H138:AU138">SUM(H139:H142)</f>
        <v>0.007</v>
      </c>
      <c r="I138" s="237">
        <f t="shared" si="34"/>
        <v>0</v>
      </c>
      <c r="J138" s="237">
        <f t="shared" si="34"/>
        <v>0</v>
      </c>
      <c r="K138" s="237">
        <f aca="true" t="shared" si="35" ref="K138:T138">SUM(K139:K142)</f>
        <v>0</v>
      </c>
      <c r="L138" s="237">
        <f t="shared" si="35"/>
        <v>0</v>
      </c>
      <c r="M138" s="237">
        <f t="shared" si="35"/>
        <v>0.07142857142857142</v>
      </c>
      <c r="N138" s="237">
        <f t="shared" si="35"/>
        <v>0.07142857142857142</v>
      </c>
      <c r="O138" s="237">
        <f t="shared" si="35"/>
        <v>0.07142857142857142</v>
      </c>
      <c r="P138" s="237">
        <f t="shared" si="35"/>
        <v>0.07142857142857142</v>
      </c>
      <c r="Q138" s="237">
        <f t="shared" si="35"/>
        <v>0.07142857142857142</v>
      </c>
      <c r="R138" s="237">
        <f t="shared" si="35"/>
        <v>0.07142857142857142</v>
      </c>
      <c r="S138" s="237">
        <f t="shared" si="35"/>
        <v>0.07142857142857142</v>
      </c>
      <c r="T138" s="233">
        <f t="shared" si="35"/>
        <v>0.14985714285714286</v>
      </c>
      <c r="U138" s="237"/>
      <c r="V138" s="239">
        <f t="shared" si="34"/>
        <v>0</v>
      </c>
      <c r="W138" s="239">
        <f t="shared" si="34"/>
        <v>0</v>
      </c>
      <c r="X138" s="239">
        <f t="shared" si="34"/>
        <v>0</v>
      </c>
      <c r="Y138" s="239">
        <f t="shared" si="34"/>
        <v>0</v>
      </c>
      <c r="Z138" s="239">
        <f t="shared" si="34"/>
        <v>0</v>
      </c>
      <c r="AA138" s="239">
        <f t="shared" si="34"/>
        <v>0.541</v>
      </c>
      <c r="AB138" s="239">
        <f t="shared" si="34"/>
        <v>0</v>
      </c>
      <c r="AC138" s="239">
        <f t="shared" si="34"/>
        <v>0.541</v>
      </c>
      <c r="AD138" s="237"/>
      <c r="AE138" s="239">
        <f t="shared" si="34"/>
        <v>0</v>
      </c>
      <c r="AF138" s="239">
        <f t="shared" si="34"/>
        <v>0</v>
      </c>
      <c r="AG138" s="239">
        <f t="shared" si="34"/>
        <v>0</v>
      </c>
      <c r="AH138" s="239">
        <f t="shared" si="34"/>
        <v>0</v>
      </c>
      <c r="AI138" s="239">
        <f t="shared" si="34"/>
        <v>0</v>
      </c>
      <c r="AJ138" s="239">
        <f t="shared" si="34"/>
        <v>0</v>
      </c>
      <c r="AK138" s="239">
        <f t="shared" si="34"/>
        <v>0</v>
      </c>
      <c r="AL138" s="239">
        <f t="shared" si="34"/>
        <v>0</v>
      </c>
      <c r="AM138" s="239">
        <f t="shared" si="34"/>
        <v>0</v>
      </c>
      <c r="AN138" s="239">
        <f t="shared" si="34"/>
        <v>0</v>
      </c>
      <c r="AO138" s="239">
        <f t="shared" si="34"/>
        <v>0</v>
      </c>
      <c r="AP138" s="239">
        <f t="shared" si="34"/>
        <v>0</v>
      </c>
      <c r="AQ138" s="239">
        <f t="shared" si="34"/>
        <v>0</v>
      </c>
      <c r="AR138" s="239">
        <f t="shared" si="34"/>
        <v>0.541</v>
      </c>
      <c r="AS138" s="239">
        <f t="shared" si="34"/>
        <v>0</v>
      </c>
      <c r="AT138" s="239">
        <f t="shared" si="34"/>
        <v>0</v>
      </c>
      <c r="AU138" s="239">
        <f t="shared" si="34"/>
        <v>0.541</v>
      </c>
    </row>
    <row r="139" spans="3:47" ht="12.75" hidden="1">
      <c r="C139" s="190" t="s">
        <v>1088</v>
      </c>
      <c r="D139" s="233">
        <v>0</v>
      </c>
      <c r="E139" s="200"/>
      <c r="G139" s="155"/>
      <c r="H139" s="91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5">
        <f>SUM(H139:N139)</f>
        <v>0</v>
      </c>
      <c r="V139" s="36"/>
      <c r="W139" s="36"/>
      <c r="X139" s="36"/>
      <c r="Y139" s="36"/>
      <c r="Z139" s="36"/>
      <c r="AA139" s="36">
        <f t="shared" si="32"/>
        <v>0</v>
      </c>
      <c r="AB139" s="37"/>
      <c r="AC139" s="37">
        <f t="shared" si="33"/>
        <v>0</v>
      </c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>
        <f t="shared" si="21"/>
        <v>0</v>
      </c>
    </row>
    <row r="140" spans="3:47" ht="12.75" hidden="1">
      <c r="C140" s="190" t="s">
        <v>1089</v>
      </c>
      <c r="D140" s="233">
        <v>0</v>
      </c>
      <c r="E140" s="200"/>
      <c r="G140" s="155"/>
      <c r="H140" s="91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5">
        <f>SUM(H140:N140)</f>
        <v>0</v>
      </c>
      <c r="V140" s="36"/>
      <c r="W140" s="36"/>
      <c r="X140" s="36"/>
      <c r="Y140" s="36"/>
      <c r="Z140" s="36"/>
      <c r="AA140" s="36">
        <f t="shared" si="32"/>
        <v>0</v>
      </c>
      <c r="AB140" s="37"/>
      <c r="AC140" s="37">
        <f t="shared" si="33"/>
        <v>0</v>
      </c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>
        <f t="shared" si="21"/>
        <v>0</v>
      </c>
    </row>
    <row r="141" spans="3:47" ht="12.75" hidden="1">
      <c r="C141" s="190" t="s">
        <v>1090</v>
      </c>
      <c r="D141" s="233">
        <v>0.041</v>
      </c>
      <c r="E141" s="200"/>
      <c r="G141" s="155">
        <v>0.041</v>
      </c>
      <c r="H141" s="91">
        <v>0.007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5">
        <f>SUM(H141:N141)</f>
        <v>0.007</v>
      </c>
      <c r="V141" s="36"/>
      <c r="W141" s="36"/>
      <c r="X141" s="36"/>
      <c r="Y141" s="36"/>
      <c r="Z141" s="36"/>
      <c r="AA141" s="36">
        <f t="shared" si="32"/>
        <v>0.041</v>
      </c>
      <c r="AB141" s="37"/>
      <c r="AC141" s="37">
        <f t="shared" si="33"/>
        <v>0.041</v>
      </c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>
        <v>0.041</v>
      </c>
      <c r="AS141" s="37"/>
      <c r="AT141" s="37"/>
      <c r="AU141" s="37">
        <f t="shared" si="21"/>
        <v>0.041</v>
      </c>
    </row>
    <row r="142" spans="3:47" ht="12.75" hidden="1">
      <c r="C142" s="190" t="s">
        <v>974</v>
      </c>
      <c r="D142" s="233">
        <v>0.5</v>
      </c>
      <c r="E142" s="200"/>
      <c r="G142" s="155"/>
      <c r="H142" s="91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0.07142857142857142</v>
      </c>
      <c r="N142" s="13">
        <v>0.07142857142857142</v>
      </c>
      <c r="O142" s="13">
        <v>0.07142857142857142</v>
      </c>
      <c r="P142" s="13">
        <v>0.07142857142857142</v>
      </c>
      <c r="Q142" s="13">
        <v>0.07142857142857142</v>
      </c>
      <c r="R142" s="13">
        <v>0.07142857142857142</v>
      </c>
      <c r="S142" s="13">
        <v>0.07142857142857142</v>
      </c>
      <c r="T142" s="5">
        <f>SUM(H142:N142)</f>
        <v>0.14285714285714285</v>
      </c>
      <c r="V142" s="36"/>
      <c r="W142" s="36"/>
      <c r="X142" s="36"/>
      <c r="Y142" s="36"/>
      <c r="Z142" s="36"/>
      <c r="AA142" s="36">
        <f t="shared" si="32"/>
        <v>0.5</v>
      </c>
      <c r="AB142" s="37"/>
      <c r="AC142" s="37">
        <f t="shared" si="33"/>
        <v>0.5</v>
      </c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>
        <v>0.5</v>
      </c>
      <c r="AS142" s="37"/>
      <c r="AT142" s="37"/>
      <c r="AU142" s="37">
        <f t="shared" si="21"/>
        <v>0.5</v>
      </c>
    </row>
    <row r="143" spans="2:47" ht="12.75">
      <c r="B143" s="252" t="s">
        <v>1460</v>
      </c>
      <c r="C143" s="190" t="s">
        <v>1008</v>
      </c>
      <c r="D143" s="233">
        <f>SUM(D144:D154)</f>
        <v>1.302</v>
      </c>
      <c r="E143" s="200"/>
      <c r="G143" s="233">
        <f>SUM(G144:G154)</f>
        <v>0.016</v>
      </c>
      <c r="H143" s="236">
        <f aca="true" t="shared" si="36" ref="H143:AU143">SUM(H144:H154)</f>
        <v>0.014</v>
      </c>
      <c r="I143" s="237">
        <f t="shared" si="36"/>
        <v>0</v>
      </c>
      <c r="J143" s="237">
        <f t="shared" si="36"/>
        <v>0</v>
      </c>
      <c r="K143" s="237">
        <f aca="true" t="shared" si="37" ref="K143:T143">SUM(K144:K154)</f>
        <v>0</v>
      </c>
      <c r="L143" s="237">
        <f t="shared" si="37"/>
        <v>0</v>
      </c>
      <c r="M143" s="237">
        <f t="shared" si="37"/>
        <v>0.2802857142857143</v>
      </c>
      <c r="N143" s="237">
        <f t="shared" si="37"/>
        <v>0.2802857142857143</v>
      </c>
      <c r="O143" s="237">
        <f t="shared" si="37"/>
        <v>0.2802857142857143</v>
      </c>
      <c r="P143" s="237">
        <f t="shared" si="37"/>
        <v>0.2802857142857143</v>
      </c>
      <c r="Q143" s="237">
        <f t="shared" si="37"/>
        <v>0.2802857142857143</v>
      </c>
      <c r="R143" s="237">
        <f t="shared" si="37"/>
        <v>0.2802857142857143</v>
      </c>
      <c r="S143" s="237">
        <f t="shared" si="37"/>
        <v>0.2802857142857143</v>
      </c>
      <c r="T143" s="233">
        <f t="shared" si="37"/>
        <v>0.5745714285714286</v>
      </c>
      <c r="U143" s="237"/>
      <c r="V143" s="239">
        <f t="shared" si="36"/>
        <v>0</v>
      </c>
      <c r="W143" s="239">
        <f t="shared" si="36"/>
        <v>0</v>
      </c>
      <c r="X143" s="239">
        <f t="shared" si="36"/>
        <v>0</v>
      </c>
      <c r="Y143" s="239">
        <f t="shared" si="36"/>
        <v>0</v>
      </c>
      <c r="Z143" s="239">
        <f t="shared" si="36"/>
        <v>0</v>
      </c>
      <c r="AA143" s="239">
        <f t="shared" si="36"/>
        <v>1.302</v>
      </c>
      <c r="AB143" s="239">
        <f t="shared" si="36"/>
        <v>0</v>
      </c>
      <c r="AC143" s="239">
        <f t="shared" si="36"/>
        <v>1.302</v>
      </c>
      <c r="AD143" s="237"/>
      <c r="AE143" s="239">
        <f t="shared" si="36"/>
        <v>0</v>
      </c>
      <c r="AF143" s="239">
        <f t="shared" si="36"/>
        <v>0</v>
      </c>
      <c r="AG143" s="239">
        <f t="shared" si="36"/>
        <v>0</v>
      </c>
      <c r="AH143" s="239">
        <f t="shared" si="36"/>
        <v>0</v>
      </c>
      <c r="AI143" s="239">
        <f t="shared" si="36"/>
        <v>0</v>
      </c>
      <c r="AJ143" s="239">
        <f t="shared" si="36"/>
        <v>0</v>
      </c>
      <c r="AK143" s="239">
        <f t="shared" si="36"/>
        <v>0</v>
      </c>
      <c r="AL143" s="239">
        <f t="shared" si="36"/>
        <v>0</v>
      </c>
      <c r="AM143" s="239">
        <f t="shared" si="36"/>
        <v>0</v>
      </c>
      <c r="AN143" s="239">
        <f t="shared" si="36"/>
        <v>0.059</v>
      </c>
      <c r="AO143" s="239">
        <f t="shared" si="36"/>
        <v>0</v>
      </c>
      <c r="AP143" s="239">
        <f t="shared" si="36"/>
        <v>0</v>
      </c>
      <c r="AQ143" s="239">
        <f t="shared" si="36"/>
        <v>0</v>
      </c>
      <c r="AR143" s="239">
        <f t="shared" si="36"/>
        <v>1.243</v>
      </c>
      <c r="AS143" s="239">
        <f t="shared" si="36"/>
        <v>0</v>
      </c>
      <c r="AT143" s="239">
        <f t="shared" si="36"/>
        <v>0</v>
      </c>
      <c r="AU143" s="239">
        <f t="shared" si="36"/>
        <v>1.302</v>
      </c>
    </row>
    <row r="144" spans="3:47" ht="12.75" hidden="1">
      <c r="C144" s="190" t="s">
        <v>975</v>
      </c>
      <c r="D144" s="233">
        <v>0.179</v>
      </c>
      <c r="E144" s="200"/>
      <c r="G144" s="155">
        <v>0.005</v>
      </c>
      <c r="H144" s="91">
        <v>0.005</v>
      </c>
      <c r="I144" s="13">
        <v>0</v>
      </c>
      <c r="J144" s="13">
        <v>0</v>
      </c>
      <c r="K144" s="13">
        <v>0</v>
      </c>
      <c r="L144" s="13">
        <v>0</v>
      </c>
      <c r="M144" s="13">
        <v>0.020714285714285713</v>
      </c>
      <c r="N144" s="13">
        <v>0.020714285714285713</v>
      </c>
      <c r="O144" s="13">
        <v>0.020714285714285713</v>
      </c>
      <c r="P144" s="13">
        <v>0.020714285714285713</v>
      </c>
      <c r="Q144" s="13">
        <v>0.020714285714285713</v>
      </c>
      <c r="R144" s="13">
        <v>0.020714285714285713</v>
      </c>
      <c r="S144" s="13">
        <v>0.020714285714285713</v>
      </c>
      <c r="T144" s="5">
        <f aca="true" t="shared" si="38" ref="T144:T154">SUM(H144:N144)</f>
        <v>0.04642857142857143</v>
      </c>
      <c r="V144" s="36"/>
      <c r="W144" s="36"/>
      <c r="X144" s="36"/>
      <c r="Y144" s="36"/>
      <c r="Z144" s="36"/>
      <c r="AA144" s="36">
        <f t="shared" si="32"/>
        <v>0.179</v>
      </c>
      <c r="AB144" s="37"/>
      <c r="AC144" s="37">
        <f t="shared" si="33"/>
        <v>0.179</v>
      </c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>
        <v>0.179</v>
      </c>
      <c r="AS144" s="37"/>
      <c r="AT144" s="37"/>
      <c r="AU144" s="37">
        <f t="shared" si="21"/>
        <v>0.179</v>
      </c>
    </row>
    <row r="145" spans="3:47" ht="12.75" hidden="1">
      <c r="C145" s="190" t="s">
        <v>976</v>
      </c>
      <c r="D145" s="233">
        <v>0</v>
      </c>
      <c r="E145" s="200"/>
      <c r="G145" s="155"/>
      <c r="H145" s="91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0.0041428571428571434</v>
      </c>
      <c r="N145" s="13">
        <v>0.0041428571428571434</v>
      </c>
      <c r="O145" s="13">
        <v>0.0041428571428571434</v>
      </c>
      <c r="P145" s="13">
        <v>0.0041428571428571434</v>
      </c>
      <c r="Q145" s="13">
        <v>0.0041428571428571434</v>
      </c>
      <c r="R145" s="13">
        <v>0.0041428571428571434</v>
      </c>
      <c r="S145" s="13">
        <v>0.0041428571428571434</v>
      </c>
      <c r="T145" s="5">
        <f t="shared" si="38"/>
        <v>0.008285714285714287</v>
      </c>
      <c r="V145" s="36"/>
      <c r="W145" s="36"/>
      <c r="X145" s="36"/>
      <c r="Y145" s="36"/>
      <c r="Z145" s="36"/>
      <c r="AA145" s="36">
        <f t="shared" si="32"/>
        <v>0</v>
      </c>
      <c r="AB145" s="37"/>
      <c r="AC145" s="37">
        <f t="shared" si="33"/>
        <v>0</v>
      </c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>
        <f t="shared" si="21"/>
        <v>0</v>
      </c>
    </row>
    <row r="146" spans="3:47" ht="12.75" hidden="1">
      <c r="C146" s="190" t="s">
        <v>1091</v>
      </c>
      <c r="D146" s="233">
        <v>0</v>
      </c>
      <c r="E146" s="200"/>
      <c r="G146" s="155"/>
      <c r="H146" s="91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0.0064285714285714285</v>
      </c>
      <c r="N146" s="13">
        <v>0.0064285714285714285</v>
      </c>
      <c r="O146" s="13">
        <v>0.0064285714285714285</v>
      </c>
      <c r="P146" s="13">
        <v>0.0064285714285714285</v>
      </c>
      <c r="Q146" s="13">
        <v>0.0064285714285714285</v>
      </c>
      <c r="R146" s="13">
        <v>0.0064285714285714285</v>
      </c>
      <c r="S146" s="13">
        <v>0.0064285714285714285</v>
      </c>
      <c r="T146" s="5">
        <f t="shared" si="38"/>
        <v>0.012857142857142857</v>
      </c>
      <c r="V146" s="36"/>
      <c r="W146" s="36"/>
      <c r="X146" s="36"/>
      <c r="Y146" s="36"/>
      <c r="Z146" s="36"/>
      <c r="AA146" s="36">
        <f t="shared" si="32"/>
        <v>0</v>
      </c>
      <c r="AB146" s="37"/>
      <c r="AC146" s="37">
        <f t="shared" si="33"/>
        <v>0</v>
      </c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>
        <f t="shared" si="21"/>
        <v>0</v>
      </c>
    </row>
    <row r="147" spans="3:47" ht="12.75" hidden="1">
      <c r="C147" s="190" t="s">
        <v>977</v>
      </c>
      <c r="D147" s="233">
        <v>0.125</v>
      </c>
      <c r="E147" s="200"/>
      <c r="G147" s="155"/>
      <c r="H147" s="91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0.017857142857142856</v>
      </c>
      <c r="N147" s="13">
        <v>0.017857142857142856</v>
      </c>
      <c r="O147" s="13">
        <v>0.017857142857142856</v>
      </c>
      <c r="P147" s="13">
        <v>0.017857142857142856</v>
      </c>
      <c r="Q147" s="13">
        <v>0.017857142857142856</v>
      </c>
      <c r="R147" s="13">
        <v>0.017857142857142856</v>
      </c>
      <c r="S147" s="13">
        <v>0.017857142857142856</v>
      </c>
      <c r="T147" s="5">
        <f t="shared" si="38"/>
        <v>0.03571428571428571</v>
      </c>
      <c r="V147" s="36"/>
      <c r="W147" s="36"/>
      <c r="X147" s="36"/>
      <c r="Y147" s="36"/>
      <c r="Z147" s="36"/>
      <c r="AA147" s="36">
        <f t="shared" si="32"/>
        <v>0.125</v>
      </c>
      <c r="AB147" s="37"/>
      <c r="AC147" s="37">
        <f t="shared" si="33"/>
        <v>0.125</v>
      </c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>
        <v>0.125</v>
      </c>
      <c r="AS147" s="37"/>
      <c r="AT147" s="37"/>
      <c r="AU147" s="37">
        <f t="shared" si="21"/>
        <v>0.125</v>
      </c>
    </row>
    <row r="148" spans="3:47" ht="12.75" hidden="1">
      <c r="C148" s="190" t="s">
        <v>978</v>
      </c>
      <c r="D148" s="233">
        <v>0.203</v>
      </c>
      <c r="E148" s="200"/>
      <c r="G148" s="155">
        <v>0.009</v>
      </c>
      <c r="H148" s="91">
        <v>0.007</v>
      </c>
      <c r="I148" s="13">
        <v>0</v>
      </c>
      <c r="J148" s="13">
        <v>0</v>
      </c>
      <c r="K148" s="13">
        <v>0</v>
      </c>
      <c r="L148" s="13">
        <v>0</v>
      </c>
      <c r="M148" s="13">
        <v>0.028</v>
      </c>
      <c r="N148" s="13">
        <v>0.028</v>
      </c>
      <c r="O148" s="13">
        <v>0.028</v>
      </c>
      <c r="P148" s="13">
        <v>0.028</v>
      </c>
      <c r="Q148" s="13">
        <v>0.028</v>
      </c>
      <c r="R148" s="13">
        <v>0.028</v>
      </c>
      <c r="S148" s="13">
        <v>0.028</v>
      </c>
      <c r="T148" s="5">
        <f t="shared" si="38"/>
        <v>0.063</v>
      </c>
      <c r="V148" s="36"/>
      <c r="W148" s="36"/>
      <c r="X148" s="36"/>
      <c r="Y148" s="36"/>
      <c r="Z148" s="36"/>
      <c r="AA148" s="36">
        <f t="shared" si="32"/>
        <v>0.203</v>
      </c>
      <c r="AB148" s="37"/>
      <c r="AC148" s="37">
        <f t="shared" si="33"/>
        <v>0.203</v>
      </c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>
        <v>0.203</v>
      </c>
      <c r="AS148" s="37"/>
      <c r="AT148" s="37"/>
      <c r="AU148" s="37">
        <f t="shared" si="21"/>
        <v>0.203</v>
      </c>
    </row>
    <row r="149" spans="3:47" ht="12.75" hidden="1">
      <c r="C149" s="190" t="s">
        <v>979</v>
      </c>
      <c r="D149" s="233">
        <v>0.209</v>
      </c>
      <c r="E149" s="200"/>
      <c r="G149" s="155">
        <v>0.002</v>
      </c>
      <c r="H149" s="91">
        <v>0.002</v>
      </c>
      <c r="I149" s="13">
        <v>0</v>
      </c>
      <c r="J149" s="13">
        <v>0</v>
      </c>
      <c r="K149" s="13">
        <v>0</v>
      </c>
      <c r="L149" s="13">
        <v>0</v>
      </c>
      <c r="M149" s="13">
        <v>0.04385714285714286</v>
      </c>
      <c r="N149" s="13">
        <v>0.04385714285714286</v>
      </c>
      <c r="O149" s="13">
        <v>0.04385714285714286</v>
      </c>
      <c r="P149" s="13">
        <v>0.04385714285714286</v>
      </c>
      <c r="Q149" s="13">
        <v>0.04385714285714286</v>
      </c>
      <c r="R149" s="13">
        <v>0.04385714285714286</v>
      </c>
      <c r="S149" s="13">
        <v>0.04385714285714286</v>
      </c>
      <c r="T149" s="5">
        <f t="shared" si="38"/>
        <v>0.08971428571428572</v>
      </c>
      <c r="V149" s="36"/>
      <c r="W149" s="36"/>
      <c r="X149" s="36"/>
      <c r="Y149" s="36"/>
      <c r="Z149" s="36"/>
      <c r="AA149" s="36">
        <f t="shared" si="32"/>
        <v>0.209</v>
      </c>
      <c r="AB149" s="37"/>
      <c r="AC149" s="37">
        <f t="shared" si="33"/>
        <v>0.209</v>
      </c>
      <c r="AE149" s="37"/>
      <c r="AF149" s="37"/>
      <c r="AG149" s="37"/>
      <c r="AH149" s="37"/>
      <c r="AI149" s="37"/>
      <c r="AJ149" s="37"/>
      <c r="AK149" s="37"/>
      <c r="AL149" s="37"/>
      <c r="AM149" s="37"/>
      <c r="AN149" s="37">
        <v>0.059</v>
      </c>
      <c r="AO149" s="37"/>
      <c r="AP149" s="37"/>
      <c r="AQ149" s="37"/>
      <c r="AR149" s="37">
        <v>0.15</v>
      </c>
      <c r="AS149" s="37"/>
      <c r="AT149" s="37"/>
      <c r="AU149" s="37">
        <f t="shared" si="21"/>
        <v>0.209</v>
      </c>
    </row>
    <row r="150" spans="3:47" ht="12.75" hidden="1">
      <c r="C150" s="190" t="s">
        <v>980</v>
      </c>
      <c r="D150" s="233">
        <v>0.01</v>
      </c>
      <c r="E150" s="200"/>
      <c r="G150" s="155"/>
      <c r="H150" s="91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0.0014285714285714286</v>
      </c>
      <c r="N150" s="13">
        <v>0.0014285714285714286</v>
      </c>
      <c r="O150" s="13">
        <v>0.0014285714285714286</v>
      </c>
      <c r="P150" s="13">
        <v>0.0014285714285714286</v>
      </c>
      <c r="Q150" s="13">
        <v>0.0014285714285714286</v>
      </c>
      <c r="R150" s="13">
        <v>0.0014285714285714286</v>
      </c>
      <c r="S150" s="13">
        <v>0.0014285714285714286</v>
      </c>
      <c r="T150" s="5">
        <f t="shared" si="38"/>
        <v>0.002857142857142857</v>
      </c>
      <c r="V150" s="36"/>
      <c r="W150" s="36"/>
      <c r="X150" s="36"/>
      <c r="Y150" s="36"/>
      <c r="Z150" s="36"/>
      <c r="AA150" s="36">
        <f t="shared" si="32"/>
        <v>0.01</v>
      </c>
      <c r="AB150" s="37"/>
      <c r="AC150" s="37">
        <f t="shared" si="33"/>
        <v>0.01</v>
      </c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>
        <v>0.01</v>
      </c>
      <c r="AS150" s="37"/>
      <c r="AT150" s="37"/>
      <c r="AU150" s="37">
        <f t="shared" si="21"/>
        <v>0.01</v>
      </c>
    </row>
    <row r="151" spans="3:47" ht="12.75" hidden="1">
      <c r="C151" s="190" t="s">
        <v>981</v>
      </c>
      <c r="D151" s="233">
        <v>0.036</v>
      </c>
      <c r="E151" s="200"/>
      <c r="G151" s="155"/>
      <c r="H151" s="91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0.005142857142857143</v>
      </c>
      <c r="N151" s="13">
        <v>0.005142857142857143</v>
      </c>
      <c r="O151" s="13">
        <v>0.005142857142857143</v>
      </c>
      <c r="P151" s="13">
        <v>0.005142857142857143</v>
      </c>
      <c r="Q151" s="13">
        <v>0.005142857142857143</v>
      </c>
      <c r="R151" s="13">
        <v>0.005142857142857143</v>
      </c>
      <c r="S151" s="13">
        <v>0.005142857142857143</v>
      </c>
      <c r="T151" s="5">
        <f t="shared" si="38"/>
        <v>0.010285714285714285</v>
      </c>
      <c r="V151" s="36"/>
      <c r="W151" s="36"/>
      <c r="X151" s="36"/>
      <c r="Y151" s="36"/>
      <c r="Z151" s="36"/>
      <c r="AA151" s="36">
        <f t="shared" si="32"/>
        <v>0.036</v>
      </c>
      <c r="AB151" s="37"/>
      <c r="AC151" s="37">
        <f t="shared" si="33"/>
        <v>0.036</v>
      </c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>
        <v>0.036</v>
      </c>
      <c r="AS151" s="37"/>
      <c r="AT151" s="37"/>
      <c r="AU151" s="37">
        <f t="shared" si="21"/>
        <v>0.036</v>
      </c>
    </row>
    <row r="152" spans="3:47" ht="12.75" hidden="1">
      <c r="C152" s="190" t="s">
        <v>982</v>
      </c>
      <c r="D152" s="233">
        <v>0.54</v>
      </c>
      <c r="E152" s="200"/>
      <c r="G152" s="155"/>
      <c r="H152" s="91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0.10985714285714286</v>
      </c>
      <c r="N152" s="13">
        <v>0.10985714285714286</v>
      </c>
      <c r="O152" s="13">
        <v>0.10985714285714286</v>
      </c>
      <c r="P152" s="13">
        <v>0.10985714285714286</v>
      </c>
      <c r="Q152" s="13">
        <v>0.10985714285714286</v>
      </c>
      <c r="R152" s="13">
        <v>0.10985714285714286</v>
      </c>
      <c r="S152" s="13">
        <v>0.10985714285714286</v>
      </c>
      <c r="T152" s="5">
        <f t="shared" si="38"/>
        <v>0.21971428571428572</v>
      </c>
      <c r="V152" s="36"/>
      <c r="W152" s="36"/>
      <c r="X152" s="36"/>
      <c r="Y152" s="36"/>
      <c r="Z152" s="36"/>
      <c r="AA152" s="36">
        <f t="shared" si="32"/>
        <v>0.54</v>
      </c>
      <c r="AB152" s="37"/>
      <c r="AC152" s="37">
        <f t="shared" si="33"/>
        <v>0.54</v>
      </c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>
        <v>0.54</v>
      </c>
      <c r="AS152" s="37"/>
      <c r="AT152" s="37"/>
      <c r="AU152" s="37">
        <f t="shared" si="21"/>
        <v>0.54</v>
      </c>
    </row>
    <row r="153" spans="3:47" ht="12.75" hidden="1">
      <c r="C153" s="190" t="s">
        <v>983</v>
      </c>
      <c r="D153" s="233">
        <v>0</v>
      </c>
      <c r="E153" s="200"/>
      <c r="G153" s="155"/>
      <c r="H153" s="91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0.04285714285714286</v>
      </c>
      <c r="N153" s="13">
        <v>0.04285714285714286</v>
      </c>
      <c r="O153" s="13">
        <v>0.04285714285714286</v>
      </c>
      <c r="P153" s="13">
        <v>0.04285714285714286</v>
      </c>
      <c r="Q153" s="13">
        <v>0.04285714285714286</v>
      </c>
      <c r="R153" s="13">
        <v>0.04285714285714286</v>
      </c>
      <c r="S153" s="13">
        <v>0.04285714285714286</v>
      </c>
      <c r="T153" s="5">
        <f t="shared" si="38"/>
        <v>0.08571428571428572</v>
      </c>
      <c r="V153" s="36"/>
      <c r="W153" s="36"/>
      <c r="X153" s="36"/>
      <c r="Y153" s="36"/>
      <c r="Z153" s="36"/>
      <c r="AA153" s="36">
        <f t="shared" si="32"/>
        <v>0</v>
      </c>
      <c r="AB153" s="37"/>
      <c r="AC153" s="37">
        <f t="shared" si="33"/>
        <v>0</v>
      </c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>
        <f aca="true" t="shared" si="39" ref="AU153:AU172">SUM(AE153:AT153)</f>
        <v>0</v>
      </c>
    </row>
    <row r="154" spans="3:47" ht="12.75" hidden="1">
      <c r="C154" s="190" t="s">
        <v>984</v>
      </c>
      <c r="D154" s="233"/>
      <c r="E154" s="200"/>
      <c r="G154" s="155"/>
      <c r="H154" s="91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5">
        <f t="shared" si="38"/>
        <v>0</v>
      </c>
      <c r="V154" s="36"/>
      <c r="W154" s="36"/>
      <c r="X154" s="36"/>
      <c r="Y154" s="36"/>
      <c r="Z154" s="36"/>
      <c r="AA154" s="36">
        <f t="shared" si="32"/>
        <v>0</v>
      </c>
      <c r="AB154" s="37"/>
      <c r="AC154" s="37">
        <f t="shared" si="33"/>
        <v>0</v>
      </c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>
        <f t="shared" si="39"/>
        <v>0</v>
      </c>
    </row>
    <row r="155" spans="2:47" ht="12.75">
      <c r="B155" s="252" t="s">
        <v>1460</v>
      </c>
      <c r="C155" s="84" t="s">
        <v>1009</v>
      </c>
      <c r="D155" s="233">
        <f>SUM(D156:D172)</f>
        <v>3.1359999999999992</v>
      </c>
      <c r="E155" s="201"/>
      <c r="G155" s="233">
        <f>SUM(G156:G172)</f>
        <v>0.9930000000000002</v>
      </c>
      <c r="H155" s="236">
        <f aca="true" t="shared" si="40" ref="H155:AU155">SUM(H156:H172)</f>
        <v>0.6589999999999999</v>
      </c>
      <c r="I155" s="237">
        <f t="shared" si="40"/>
        <v>0</v>
      </c>
      <c r="J155" s="237">
        <f t="shared" si="40"/>
        <v>0</v>
      </c>
      <c r="K155" s="237">
        <f aca="true" t="shared" si="41" ref="K155:T155">SUM(K156:K172)</f>
        <v>0</v>
      </c>
      <c r="L155" s="237">
        <f t="shared" si="41"/>
        <v>0</v>
      </c>
      <c r="M155" s="237">
        <f t="shared" si="41"/>
        <v>0.3751428571428571</v>
      </c>
      <c r="N155" s="237">
        <f t="shared" si="41"/>
        <v>0.3751428571428571</v>
      </c>
      <c r="O155" s="237">
        <f t="shared" si="41"/>
        <v>0.3751428571428571</v>
      </c>
      <c r="P155" s="237">
        <f t="shared" si="41"/>
        <v>0.3751428571428571</v>
      </c>
      <c r="Q155" s="237">
        <f t="shared" si="41"/>
        <v>0.3751428571428571</v>
      </c>
      <c r="R155" s="237">
        <f t="shared" si="41"/>
        <v>0.3751428571428571</v>
      </c>
      <c r="S155" s="237">
        <f t="shared" si="41"/>
        <v>0.3751428571428571</v>
      </c>
      <c r="T155" s="233">
        <f t="shared" si="41"/>
        <v>1.4092857142857143</v>
      </c>
      <c r="U155" s="237"/>
      <c r="V155" s="239">
        <f t="shared" si="40"/>
        <v>0</v>
      </c>
      <c r="W155" s="239">
        <f t="shared" si="40"/>
        <v>0</v>
      </c>
      <c r="X155" s="239">
        <f t="shared" si="40"/>
        <v>0</v>
      </c>
      <c r="Y155" s="239">
        <f t="shared" si="40"/>
        <v>0</v>
      </c>
      <c r="Z155" s="239">
        <f t="shared" si="40"/>
        <v>2.4059999999999997</v>
      </c>
      <c r="AA155" s="239">
        <f t="shared" si="40"/>
        <v>0.73</v>
      </c>
      <c r="AB155" s="239">
        <f>SUM(AB156:AB172)</f>
        <v>0</v>
      </c>
      <c r="AC155" s="239">
        <f t="shared" si="40"/>
        <v>3.1359999999999992</v>
      </c>
      <c r="AD155" s="237"/>
      <c r="AE155" s="239">
        <f t="shared" si="40"/>
        <v>0</v>
      </c>
      <c r="AF155" s="239">
        <f t="shared" si="40"/>
        <v>0</v>
      </c>
      <c r="AG155" s="239">
        <f t="shared" si="40"/>
        <v>0</v>
      </c>
      <c r="AH155" s="239">
        <f t="shared" si="40"/>
        <v>0</v>
      </c>
      <c r="AI155" s="239">
        <f t="shared" si="40"/>
        <v>0</v>
      </c>
      <c r="AJ155" s="239">
        <f t="shared" si="40"/>
        <v>0</v>
      </c>
      <c r="AK155" s="239">
        <f t="shared" si="40"/>
        <v>0</v>
      </c>
      <c r="AL155" s="239">
        <f t="shared" si="40"/>
        <v>0.73</v>
      </c>
      <c r="AM155" s="239">
        <f t="shared" si="40"/>
        <v>0</v>
      </c>
      <c r="AN155" s="239">
        <f t="shared" si="40"/>
        <v>0</v>
      </c>
      <c r="AO155" s="239">
        <f t="shared" si="40"/>
        <v>0</v>
      </c>
      <c r="AP155" s="239">
        <f t="shared" si="40"/>
        <v>0</v>
      </c>
      <c r="AQ155" s="239">
        <f t="shared" si="40"/>
        <v>0</v>
      </c>
      <c r="AR155" s="239">
        <f t="shared" si="40"/>
        <v>0</v>
      </c>
      <c r="AS155" s="239">
        <f t="shared" si="40"/>
        <v>0</v>
      </c>
      <c r="AT155" s="239">
        <f t="shared" si="40"/>
        <v>0</v>
      </c>
      <c r="AU155" s="239">
        <f t="shared" si="40"/>
        <v>0.73</v>
      </c>
    </row>
    <row r="156" spans="2:47" ht="12.75" hidden="1">
      <c r="B156" s="33" t="s">
        <v>1035</v>
      </c>
      <c r="C156" s="190" t="s">
        <v>985</v>
      </c>
      <c r="D156" s="198">
        <v>1.33</v>
      </c>
      <c r="E156" s="200"/>
      <c r="G156" s="155">
        <v>0.78</v>
      </c>
      <c r="H156" s="91">
        <v>0.445</v>
      </c>
      <c r="I156" s="13">
        <v>0</v>
      </c>
      <c r="J156" s="13">
        <v>0</v>
      </c>
      <c r="K156" s="13">
        <v>0</v>
      </c>
      <c r="L156" s="13">
        <v>0</v>
      </c>
      <c r="M156" s="13">
        <v>0.12642857142857142</v>
      </c>
      <c r="N156" s="13">
        <v>0.12642857142857142</v>
      </c>
      <c r="O156" s="13">
        <v>0.12642857142857142</v>
      </c>
      <c r="P156" s="13">
        <v>0.12642857142857142</v>
      </c>
      <c r="Q156" s="13">
        <v>0.12642857142857142</v>
      </c>
      <c r="R156" s="13">
        <v>0.12642857142857142</v>
      </c>
      <c r="S156" s="13">
        <v>0.12642857142857142</v>
      </c>
      <c r="T156" s="5">
        <f aca="true" t="shared" si="42" ref="T156:T161">SUM(H156:N156)</f>
        <v>0.6978571428571428</v>
      </c>
      <c r="V156" s="36"/>
      <c r="W156" s="36"/>
      <c r="X156" s="36"/>
      <c r="Y156" s="36"/>
      <c r="Z156" s="36">
        <v>0.6</v>
      </c>
      <c r="AA156" s="36">
        <f t="shared" si="32"/>
        <v>0.73</v>
      </c>
      <c r="AB156" s="37"/>
      <c r="AC156" s="37">
        <f t="shared" si="33"/>
        <v>1.33</v>
      </c>
      <c r="AE156" s="37"/>
      <c r="AF156" s="37"/>
      <c r="AG156" s="37"/>
      <c r="AH156" s="37"/>
      <c r="AI156" s="37"/>
      <c r="AJ156" s="37"/>
      <c r="AK156" s="37"/>
      <c r="AL156" s="37">
        <v>0.73</v>
      </c>
      <c r="AM156" s="37"/>
      <c r="AN156" s="37"/>
      <c r="AO156" s="37"/>
      <c r="AP156" s="37"/>
      <c r="AQ156" s="37"/>
      <c r="AR156" s="37"/>
      <c r="AS156" s="37"/>
      <c r="AT156" s="37"/>
      <c r="AU156" s="37">
        <f t="shared" si="39"/>
        <v>0.73</v>
      </c>
    </row>
    <row r="157" spans="2:47" ht="12.75" hidden="1">
      <c r="B157" s="33" t="s">
        <v>1036</v>
      </c>
      <c r="C157" s="190" t="s">
        <v>986</v>
      </c>
      <c r="D157" s="198">
        <v>0.25</v>
      </c>
      <c r="E157" s="200"/>
      <c r="G157" s="155">
        <v>0.055</v>
      </c>
      <c r="H157" s="91">
        <v>0.031</v>
      </c>
      <c r="I157" s="13">
        <v>0</v>
      </c>
      <c r="J157" s="13">
        <v>0</v>
      </c>
      <c r="K157" s="13">
        <v>0</v>
      </c>
      <c r="L157" s="13">
        <v>0</v>
      </c>
      <c r="M157" s="13">
        <v>0.031285714285714285</v>
      </c>
      <c r="N157" s="13">
        <v>0.031285714285714285</v>
      </c>
      <c r="O157" s="13">
        <v>0.031285714285714285</v>
      </c>
      <c r="P157" s="13">
        <v>0.031285714285714285</v>
      </c>
      <c r="Q157" s="13">
        <v>0.031285714285714285</v>
      </c>
      <c r="R157" s="13">
        <v>0.031285714285714285</v>
      </c>
      <c r="S157" s="13">
        <v>0.031285714285714285</v>
      </c>
      <c r="T157" s="5">
        <f t="shared" si="42"/>
        <v>0.09357142857142857</v>
      </c>
      <c r="V157" s="36"/>
      <c r="W157" s="36"/>
      <c r="X157" s="36"/>
      <c r="Y157" s="36"/>
      <c r="Z157" s="36">
        <v>0.25</v>
      </c>
      <c r="AA157" s="36">
        <f t="shared" si="32"/>
        <v>0</v>
      </c>
      <c r="AB157" s="37"/>
      <c r="AC157" s="37">
        <f t="shared" si="33"/>
        <v>0.25</v>
      </c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>
        <f t="shared" si="39"/>
        <v>0</v>
      </c>
    </row>
    <row r="158" spans="2:47" ht="12.75" hidden="1">
      <c r="B158" s="33" t="s">
        <v>1034</v>
      </c>
      <c r="C158" s="190" t="s">
        <v>987</v>
      </c>
      <c r="D158" s="198">
        <v>0.15</v>
      </c>
      <c r="E158" s="200"/>
      <c r="G158" s="155">
        <v>0.088</v>
      </c>
      <c r="H158" s="91">
        <v>0.06</v>
      </c>
      <c r="I158" s="13">
        <v>0</v>
      </c>
      <c r="J158" s="13">
        <v>0</v>
      </c>
      <c r="K158" s="13">
        <v>0</v>
      </c>
      <c r="L158" s="13">
        <v>0</v>
      </c>
      <c r="M158" s="13">
        <v>0.008142857142857144</v>
      </c>
      <c r="N158" s="13">
        <v>0.008142857142857144</v>
      </c>
      <c r="O158" s="13">
        <v>0.008142857142857144</v>
      </c>
      <c r="P158" s="13">
        <v>0.008142857142857144</v>
      </c>
      <c r="Q158" s="13">
        <v>0.008142857142857144</v>
      </c>
      <c r="R158" s="13">
        <v>0.008142857142857144</v>
      </c>
      <c r="S158" s="13">
        <v>0.008142857142857144</v>
      </c>
      <c r="T158" s="5">
        <f t="shared" si="42"/>
        <v>0.07628571428571429</v>
      </c>
      <c r="V158" s="36"/>
      <c r="W158" s="36"/>
      <c r="X158" s="36"/>
      <c r="Y158" s="36"/>
      <c r="Z158" s="36">
        <v>0.15</v>
      </c>
      <c r="AA158" s="36">
        <f t="shared" si="32"/>
        <v>0</v>
      </c>
      <c r="AB158" s="37"/>
      <c r="AC158" s="37">
        <f t="shared" si="33"/>
        <v>0.15</v>
      </c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>
        <f t="shared" si="39"/>
        <v>0</v>
      </c>
    </row>
    <row r="159" spans="2:47" ht="12.75" hidden="1">
      <c r="B159" s="33" t="s">
        <v>1033</v>
      </c>
      <c r="C159" s="190" t="s">
        <v>988</v>
      </c>
      <c r="D159" s="198">
        <v>0.5</v>
      </c>
      <c r="E159" s="200"/>
      <c r="G159" s="155">
        <v>0.195</v>
      </c>
      <c r="H159" s="91">
        <v>0.172</v>
      </c>
      <c r="I159" s="13">
        <v>0</v>
      </c>
      <c r="J159" s="13">
        <v>0</v>
      </c>
      <c r="K159" s="13">
        <v>0</v>
      </c>
      <c r="L159" s="13">
        <v>0</v>
      </c>
      <c r="M159" s="13">
        <v>0.04685714285714286</v>
      </c>
      <c r="N159" s="13">
        <v>0.04685714285714286</v>
      </c>
      <c r="O159" s="13">
        <v>0.04685714285714286</v>
      </c>
      <c r="P159" s="13">
        <v>0.04685714285714286</v>
      </c>
      <c r="Q159" s="13">
        <v>0.04685714285714286</v>
      </c>
      <c r="R159" s="13">
        <v>0.04685714285714286</v>
      </c>
      <c r="S159" s="13">
        <v>0.04685714285714286</v>
      </c>
      <c r="T159" s="5">
        <f t="shared" si="42"/>
        <v>0.26571428571428574</v>
      </c>
      <c r="V159" s="36"/>
      <c r="W159" s="36"/>
      <c r="X159" s="36"/>
      <c r="Y159" s="36"/>
      <c r="Z159" s="36">
        <v>0.5</v>
      </c>
      <c r="AA159" s="36">
        <f t="shared" si="32"/>
        <v>0</v>
      </c>
      <c r="AB159" s="37"/>
      <c r="AC159" s="37">
        <f t="shared" si="33"/>
        <v>0.5</v>
      </c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>
        <f t="shared" si="39"/>
        <v>0</v>
      </c>
    </row>
    <row r="160" spans="3:47" ht="12.75" hidden="1">
      <c r="C160" s="190" t="s">
        <v>989</v>
      </c>
      <c r="D160" s="198">
        <v>0</v>
      </c>
      <c r="E160" s="200"/>
      <c r="G160" s="155"/>
      <c r="H160" s="91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0.03571428571428571</v>
      </c>
      <c r="N160" s="13">
        <v>0.03571428571428571</v>
      </c>
      <c r="O160" s="13">
        <v>0.03571428571428571</v>
      </c>
      <c r="P160" s="13">
        <v>0.03571428571428571</v>
      </c>
      <c r="Q160" s="13">
        <v>0.03571428571428571</v>
      </c>
      <c r="R160" s="13">
        <v>0.03571428571428571</v>
      </c>
      <c r="S160" s="13">
        <v>0.03571428571428571</v>
      </c>
      <c r="T160" s="5">
        <f t="shared" si="42"/>
        <v>0.07142857142857142</v>
      </c>
      <c r="V160" s="36"/>
      <c r="W160" s="36"/>
      <c r="X160" s="36"/>
      <c r="Y160" s="36"/>
      <c r="Z160" s="36"/>
      <c r="AA160" s="36">
        <f t="shared" si="32"/>
        <v>0</v>
      </c>
      <c r="AB160" s="37"/>
      <c r="AC160" s="37">
        <f t="shared" si="33"/>
        <v>0</v>
      </c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>
        <f t="shared" si="39"/>
        <v>0</v>
      </c>
    </row>
    <row r="161" spans="3:47" ht="12.75" hidden="1">
      <c r="C161" s="190" t="s">
        <v>990</v>
      </c>
      <c r="D161" s="198">
        <v>0.2</v>
      </c>
      <c r="E161" s="200"/>
      <c r="G161" s="155">
        <v>0.002</v>
      </c>
      <c r="H161" s="91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0.028571428571428574</v>
      </c>
      <c r="N161" s="13">
        <v>0.028571428571428574</v>
      </c>
      <c r="O161" s="13">
        <v>0.028571428571428574</v>
      </c>
      <c r="P161" s="13">
        <v>0.028571428571428574</v>
      </c>
      <c r="Q161" s="13">
        <v>0.028571428571428574</v>
      </c>
      <c r="R161" s="13">
        <v>0.028571428571428574</v>
      </c>
      <c r="S161" s="13">
        <v>0.028571428571428574</v>
      </c>
      <c r="T161" s="5">
        <f t="shared" si="42"/>
        <v>0.05714285714285715</v>
      </c>
      <c r="V161" s="36"/>
      <c r="W161" s="36"/>
      <c r="X161" s="36"/>
      <c r="Y161" s="36"/>
      <c r="Z161" s="36">
        <v>0.2</v>
      </c>
      <c r="AA161" s="36">
        <f t="shared" si="32"/>
        <v>0</v>
      </c>
      <c r="AB161" s="37"/>
      <c r="AC161" s="37">
        <f t="shared" si="33"/>
        <v>0.2</v>
      </c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>
        <f t="shared" si="39"/>
        <v>0</v>
      </c>
    </row>
    <row r="162" spans="3:47" ht="12.75" hidden="1">
      <c r="C162" s="190" t="s">
        <v>253</v>
      </c>
      <c r="D162" s="198">
        <v>0.14</v>
      </c>
      <c r="E162" s="200"/>
      <c r="G162" s="155"/>
      <c r="H162" s="91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5"/>
      <c r="V162" s="36"/>
      <c r="W162" s="36"/>
      <c r="X162" s="36"/>
      <c r="Y162" s="36"/>
      <c r="Z162" s="36">
        <v>0.14</v>
      </c>
      <c r="AA162" s="36">
        <f>AU162</f>
        <v>0</v>
      </c>
      <c r="AB162" s="37"/>
      <c r="AC162" s="37">
        <f>SUM(V162:AB162)</f>
        <v>0.14</v>
      </c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</row>
    <row r="163" spans="3:47" ht="12.75" hidden="1">
      <c r="C163" s="190" t="s">
        <v>254</v>
      </c>
      <c r="D163" s="198">
        <v>0.006</v>
      </c>
      <c r="E163" s="200"/>
      <c r="G163" s="155"/>
      <c r="H163" s="91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5"/>
      <c r="V163" s="36"/>
      <c r="W163" s="36"/>
      <c r="X163" s="36"/>
      <c r="Y163" s="36"/>
      <c r="Z163" s="36">
        <v>0.006</v>
      </c>
      <c r="AA163" s="36">
        <f>AU163</f>
        <v>0</v>
      </c>
      <c r="AB163" s="37"/>
      <c r="AC163" s="37">
        <f>SUM(V163:AB163)</f>
        <v>0.006</v>
      </c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</row>
    <row r="164" spans="3:47" ht="12.75" hidden="1">
      <c r="C164" s="190" t="s">
        <v>991</v>
      </c>
      <c r="D164" s="198">
        <v>0.016</v>
      </c>
      <c r="E164" s="200"/>
      <c r="G164" s="155"/>
      <c r="H164" s="91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0.002285714285714286</v>
      </c>
      <c r="N164" s="13">
        <v>0.002285714285714286</v>
      </c>
      <c r="O164" s="13">
        <v>0.002285714285714286</v>
      </c>
      <c r="P164" s="13">
        <v>0.002285714285714286</v>
      </c>
      <c r="Q164" s="13">
        <v>0.002285714285714286</v>
      </c>
      <c r="R164" s="13">
        <v>0.002285714285714286</v>
      </c>
      <c r="S164" s="13">
        <v>0.002285714285714286</v>
      </c>
      <c r="T164" s="5">
        <f aca="true" t="shared" si="43" ref="T164:T172">SUM(H164:N164)</f>
        <v>0.004571428571428572</v>
      </c>
      <c r="V164" s="36"/>
      <c r="W164" s="36"/>
      <c r="X164" s="36"/>
      <c r="Y164" s="36"/>
      <c r="Z164" s="36">
        <v>0.016</v>
      </c>
      <c r="AA164" s="36">
        <f t="shared" si="32"/>
        <v>0</v>
      </c>
      <c r="AB164" s="37"/>
      <c r="AC164" s="37">
        <f t="shared" si="33"/>
        <v>0.016</v>
      </c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>
        <f t="shared" si="39"/>
        <v>0</v>
      </c>
    </row>
    <row r="165" spans="2:47" ht="12.75" hidden="1">
      <c r="B165" s="33" t="s">
        <v>1028</v>
      </c>
      <c r="C165" s="190" t="s">
        <v>992</v>
      </c>
      <c r="D165" s="198">
        <v>-0.065</v>
      </c>
      <c r="E165" s="200"/>
      <c r="G165" s="155">
        <v>-0.065</v>
      </c>
      <c r="H165" s="91">
        <v>-0.037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5">
        <f t="shared" si="43"/>
        <v>-0.037</v>
      </c>
      <c r="V165" s="36"/>
      <c r="W165" s="36"/>
      <c r="X165" s="36"/>
      <c r="Y165" s="36"/>
      <c r="Z165" s="36">
        <v>-0.065</v>
      </c>
      <c r="AA165" s="36">
        <f t="shared" si="32"/>
        <v>0</v>
      </c>
      <c r="AB165" s="37"/>
      <c r="AC165" s="37">
        <f t="shared" si="33"/>
        <v>-0.065</v>
      </c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>
        <f t="shared" si="39"/>
        <v>0</v>
      </c>
    </row>
    <row r="166" spans="2:47" ht="12.75" hidden="1">
      <c r="B166" s="33" t="s">
        <v>1029</v>
      </c>
      <c r="C166" s="190" t="s">
        <v>993</v>
      </c>
      <c r="D166" s="198">
        <v>-0.083</v>
      </c>
      <c r="E166" s="200"/>
      <c r="G166" s="155">
        <v>-0.083</v>
      </c>
      <c r="H166" s="91">
        <v>-0.033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5">
        <f t="shared" si="43"/>
        <v>-0.033</v>
      </c>
      <c r="V166" s="36"/>
      <c r="W166" s="36"/>
      <c r="X166" s="36"/>
      <c r="Y166" s="36"/>
      <c r="Z166" s="36">
        <v>-0.083</v>
      </c>
      <c r="AA166" s="36">
        <f t="shared" si="32"/>
        <v>0</v>
      </c>
      <c r="AB166" s="37"/>
      <c r="AC166" s="37">
        <f t="shared" si="33"/>
        <v>-0.083</v>
      </c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>
        <f t="shared" si="39"/>
        <v>0</v>
      </c>
    </row>
    <row r="167" spans="3:47" ht="12.75" hidden="1">
      <c r="C167" s="190" t="s">
        <v>994</v>
      </c>
      <c r="D167" s="198">
        <v>0.01</v>
      </c>
      <c r="E167" s="200"/>
      <c r="G167" s="155">
        <v>0.004</v>
      </c>
      <c r="H167" s="91">
        <v>0.004</v>
      </c>
      <c r="I167" s="13">
        <v>0</v>
      </c>
      <c r="J167" s="13">
        <v>0</v>
      </c>
      <c r="K167" s="13">
        <v>0</v>
      </c>
      <c r="L167" s="13">
        <v>0</v>
      </c>
      <c r="M167" s="13">
        <v>0.0008571428571428572</v>
      </c>
      <c r="N167" s="13">
        <v>0.0008571428571428572</v>
      </c>
      <c r="O167" s="13">
        <v>0.0008571428571428572</v>
      </c>
      <c r="P167" s="13">
        <v>0.0008571428571428572</v>
      </c>
      <c r="Q167" s="13">
        <v>0.0008571428571428572</v>
      </c>
      <c r="R167" s="13">
        <v>0.0008571428571428572</v>
      </c>
      <c r="S167" s="13">
        <v>0.0008571428571428572</v>
      </c>
      <c r="T167" s="5">
        <f t="shared" si="43"/>
        <v>0.005714285714285715</v>
      </c>
      <c r="V167" s="36"/>
      <c r="W167" s="36"/>
      <c r="X167" s="36"/>
      <c r="Y167" s="36"/>
      <c r="Z167" s="36">
        <v>0.01</v>
      </c>
      <c r="AA167" s="36">
        <f t="shared" si="32"/>
        <v>0</v>
      </c>
      <c r="AB167" s="37"/>
      <c r="AC167" s="37">
        <f t="shared" si="33"/>
        <v>0.01</v>
      </c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>
        <f t="shared" si="39"/>
        <v>0</v>
      </c>
    </row>
    <row r="168" spans="3:47" ht="12.75" hidden="1">
      <c r="C168" s="190" t="s">
        <v>995</v>
      </c>
      <c r="D168" s="198">
        <v>0.002</v>
      </c>
      <c r="E168" s="200"/>
      <c r="G168" s="155">
        <v>0.002</v>
      </c>
      <c r="H168" s="91">
        <v>0.002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5">
        <f t="shared" si="43"/>
        <v>0.002</v>
      </c>
      <c r="V168" s="36"/>
      <c r="W168" s="36"/>
      <c r="X168" s="36"/>
      <c r="Y168" s="36"/>
      <c r="Z168" s="36">
        <v>0.002</v>
      </c>
      <c r="AA168" s="36">
        <f t="shared" si="32"/>
        <v>0</v>
      </c>
      <c r="AB168" s="37"/>
      <c r="AC168" s="37">
        <f t="shared" si="33"/>
        <v>0.002</v>
      </c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>
        <f t="shared" si="39"/>
        <v>0</v>
      </c>
    </row>
    <row r="169" spans="2:47" ht="12.75" hidden="1">
      <c r="B169" s="33" t="s">
        <v>1030</v>
      </c>
      <c r="C169" s="190" t="s">
        <v>996</v>
      </c>
      <c r="D169" s="198">
        <v>0.013</v>
      </c>
      <c r="E169" s="200"/>
      <c r="G169" s="155">
        <v>0.013</v>
      </c>
      <c r="H169" s="91">
        <v>0.013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5">
        <f t="shared" si="43"/>
        <v>0.013</v>
      </c>
      <c r="V169" s="36"/>
      <c r="W169" s="36"/>
      <c r="X169" s="36"/>
      <c r="Y169" s="36"/>
      <c r="Z169" s="36">
        <v>0.013</v>
      </c>
      <c r="AA169" s="36">
        <f t="shared" si="32"/>
        <v>0</v>
      </c>
      <c r="AB169" s="37"/>
      <c r="AC169" s="37">
        <f t="shared" si="33"/>
        <v>0.013</v>
      </c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>
        <f t="shared" si="39"/>
        <v>0</v>
      </c>
    </row>
    <row r="170" spans="3:47" ht="12.75" hidden="1">
      <c r="C170" s="190" t="s">
        <v>998</v>
      </c>
      <c r="D170" s="198">
        <v>0.001</v>
      </c>
      <c r="E170" s="200"/>
      <c r="G170" s="155">
        <v>0.001</v>
      </c>
      <c r="H170" s="91">
        <v>0.001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5">
        <f t="shared" si="43"/>
        <v>0.001</v>
      </c>
      <c r="V170" s="36"/>
      <c r="W170" s="36"/>
      <c r="X170" s="36"/>
      <c r="Y170" s="36"/>
      <c r="Z170" s="36">
        <v>0.001</v>
      </c>
      <c r="AA170" s="36">
        <f t="shared" si="32"/>
        <v>0</v>
      </c>
      <c r="AB170" s="37"/>
      <c r="AC170" s="37">
        <f t="shared" si="33"/>
        <v>0.001</v>
      </c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>
        <f t="shared" si="39"/>
        <v>0</v>
      </c>
    </row>
    <row r="171" spans="2:47" ht="12.75" hidden="1">
      <c r="B171" s="33" t="s">
        <v>1031</v>
      </c>
      <c r="C171" s="190" t="s">
        <v>999</v>
      </c>
      <c r="D171" s="198">
        <v>0.001</v>
      </c>
      <c r="E171" s="200"/>
      <c r="G171" s="155">
        <v>0.001</v>
      </c>
      <c r="H171" s="91">
        <v>0.001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5">
        <f t="shared" si="43"/>
        <v>0.001</v>
      </c>
      <c r="V171" s="36"/>
      <c r="W171" s="36"/>
      <c r="X171" s="36"/>
      <c r="Y171" s="36"/>
      <c r="Z171" s="36">
        <v>0.001</v>
      </c>
      <c r="AA171" s="36">
        <f t="shared" si="32"/>
        <v>0</v>
      </c>
      <c r="AB171" s="37"/>
      <c r="AC171" s="37">
        <f t="shared" si="33"/>
        <v>0.001</v>
      </c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>
        <f t="shared" si="39"/>
        <v>0</v>
      </c>
    </row>
    <row r="172" spans="3:48" ht="12.75" hidden="1">
      <c r="C172" s="190" t="s">
        <v>1000</v>
      </c>
      <c r="D172" s="198">
        <v>0.665</v>
      </c>
      <c r="E172" s="200"/>
      <c r="G172" s="155"/>
      <c r="H172" s="91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0.095</v>
      </c>
      <c r="N172" s="13">
        <v>0.095</v>
      </c>
      <c r="O172" s="13">
        <v>0.095</v>
      </c>
      <c r="P172" s="13">
        <v>0.095</v>
      </c>
      <c r="Q172" s="13">
        <v>0.095</v>
      </c>
      <c r="R172" s="13">
        <v>0.095</v>
      </c>
      <c r="S172" s="13">
        <v>0.095</v>
      </c>
      <c r="T172" s="5">
        <f t="shared" si="43"/>
        <v>0.19</v>
      </c>
      <c r="V172" s="36"/>
      <c r="W172" s="36"/>
      <c r="X172" s="36"/>
      <c r="Y172" s="36"/>
      <c r="Z172" s="36">
        <v>0.665</v>
      </c>
      <c r="AA172" s="36">
        <f t="shared" si="32"/>
        <v>0</v>
      </c>
      <c r="AC172" s="37">
        <f t="shared" si="33"/>
        <v>0.665</v>
      </c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>
        <f t="shared" si="39"/>
        <v>0</v>
      </c>
      <c r="AV172" s="33" t="s">
        <v>1467</v>
      </c>
    </row>
    <row r="173" spans="2:48" ht="13.5" thickBot="1">
      <c r="B173" s="252" t="s">
        <v>1460</v>
      </c>
      <c r="C173" s="84" t="s">
        <v>256</v>
      </c>
      <c r="D173" s="26">
        <v>1.566</v>
      </c>
      <c r="E173" s="171"/>
      <c r="F173" s="171"/>
      <c r="G173" s="155">
        <v>0</v>
      </c>
      <c r="H173" s="52"/>
      <c r="S173" s="94"/>
      <c r="T173" s="94">
        <f>SUM(H173:S173)</f>
        <v>0</v>
      </c>
      <c r="V173" s="36"/>
      <c r="W173" s="36"/>
      <c r="X173" s="36"/>
      <c r="Y173" s="36"/>
      <c r="Z173" s="36">
        <f>0.007-0.006+0.21</f>
        <v>0.211</v>
      </c>
      <c r="AA173" s="36">
        <f t="shared" si="32"/>
        <v>1.055</v>
      </c>
      <c r="AB173" s="37">
        <v>0.3</v>
      </c>
      <c r="AC173" s="37">
        <f>SUM(V173:AB173)</f>
        <v>1.566</v>
      </c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>
        <v>0.146</v>
      </c>
      <c r="AP173" s="37"/>
      <c r="AQ173" s="37">
        <v>0.006</v>
      </c>
      <c r="AR173" s="37">
        <v>0.903</v>
      </c>
      <c r="AS173" s="37"/>
      <c r="AT173" s="37"/>
      <c r="AU173" s="151">
        <f>SUM(AE173:AT173)</f>
        <v>1.055</v>
      </c>
      <c r="AV173" s="264"/>
    </row>
    <row r="174" spans="2:47" ht="12.75">
      <c r="B174" s="33">
        <f>SUM(D57:D155)/2</f>
        <v>18.497</v>
      </c>
      <c r="C174" s="8" t="s">
        <v>1719</v>
      </c>
      <c r="D174" s="14">
        <f>D173+D155+D143+D138+D124+D104+D79+D57+D54+D51+D47+D33+D31+D29+D19+D8</f>
        <v>28.982</v>
      </c>
      <c r="E174" s="147"/>
      <c r="F174" s="172"/>
      <c r="G174" s="14">
        <f>G173+G155+G143+G138+G124+G104+G79+G57+G54+G51+G47+G33+G31+G29+G19+G8</f>
        <v>7.591999999999999</v>
      </c>
      <c r="H174" s="133">
        <f>H173+H155+H143+H138+H124+H104+H79+H57+H54+H51+H47+H33+H31+H29+H19+H8</f>
        <v>5.585999999999999</v>
      </c>
      <c r="I174" s="128">
        <f>I173+I155+I143+I138+I124+I104+I79+I57+I54+I51+I47+I33+I31+I29+I19+I8</f>
        <v>0</v>
      </c>
      <c r="J174" s="128">
        <f>J173+J155+J143+J138+J124+J104+J79+J57+J54+J51+J47+J33+J31+J29+J19+J8</f>
        <v>0</v>
      </c>
      <c r="K174" s="128">
        <f aca="true" t="shared" si="44" ref="K174:T174">K173+K155+K143+K138+K124+K104+K79+K57+K54+K51+K47+K33+K31+K29+K19+K8</f>
        <v>0</v>
      </c>
      <c r="L174" s="128">
        <f t="shared" si="44"/>
        <v>0</v>
      </c>
      <c r="M174" s="128">
        <f t="shared" si="44"/>
        <v>3.3854285714285717</v>
      </c>
      <c r="N174" s="128">
        <f t="shared" si="44"/>
        <v>3.3854285714285717</v>
      </c>
      <c r="O174" s="128">
        <f t="shared" si="44"/>
        <v>3.3854285714285717</v>
      </c>
      <c r="P174" s="128">
        <f t="shared" si="44"/>
        <v>3.3854285714285717</v>
      </c>
      <c r="Q174" s="128">
        <f t="shared" si="44"/>
        <v>3.3865714285714286</v>
      </c>
      <c r="R174" s="128">
        <f t="shared" si="44"/>
        <v>3.3865714285714286</v>
      </c>
      <c r="S174" s="128">
        <f t="shared" si="44"/>
        <v>3.3865714285714286</v>
      </c>
      <c r="T174" s="128">
        <f t="shared" si="44"/>
        <v>12.350857142857144</v>
      </c>
      <c r="U174" s="133"/>
      <c r="V174" s="142">
        <f>V173+V155+V143+V138+V124+V104+V79+V57+V54+V51+V47+V33+V31+V29+V19+V8</f>
        <v>1.1119999999999999</v>
      </c>
      <c r="W174" s="142">
        <f>W173+W155+W143+W138+W124+W104+W79+W57+W54+W51+W47+W33+W31+W29+W19+W8</f>
        <v>0</v>
      </c>
      <c r="X174" s="142">
        <f>X173+X155+X143+X138+X124+X104+X79+X57+X54+X51+X47+X33+X31+X29+X19+X8</f>
        <v>0</v>
      </c>
      <c r="Y174" s="142">
        <f>Y173+Y155+Y143+Y138+Y124+Y104+Y79+Y57+Y54+Y51+Y47+Y33+Y31+Y29+Y19+Y8</f>
        <v>0</v>
      </c>
      <c r="Z174" s="142">
        <f>Z173+Z155+Z143+Z138+Z124+Z104+Z79+Z57+Z54+Z51+Z47+Z33+Z31+Z29+Z19+Z8+Z55</f>
        <v>5.868</v>
      </c>
      <c r="AA174" s="142">
        <f>AA173+AA155+AA143+AA138+AA124+AA104+AA79+AA57+AA54+AA51+AA47+AA33+AA31+AA29+AA19+AA8+AA55</f>
        <v>21.701999999999998</v>
      </c>
      <c r="AB174" s="142">
        <f>AB173+AB155+AB143+AB138+AB124+AB104+AB79+AB57+AB54+AB51+AB47+AB33+AB31+AB29+AB19+AB8</f>
        <v>0.3</v>
      </c>
      <c r="AC174" s="142">
        <f>AC173+AC155+AC143+AC138+AC124+AC104+AC79+AC57+AC54+AC51+AC47+AC33+AC31+AC29+AC19+AC8+AC55</f>
        <v>28.982</v>
      </c>
      <c r="AD174" s="128"/>
      <c r="AE174" s="142">
        <f aca="true" t="shared" si="45" ref="AE174:AL174">AE173+AE155+AE143+AE138+AE124+AE104+AE79+AE57+AE54+AE51+AE47+AE33+AE31+AE29+AE19+AE8</f>
        <v>0</v>
      </c>
      <c r="AF174" s="142">
        <f t="shared" si="45"/>
        <v>4.869</v>
      </c>
      <c r="AG174" s="142">
        <f t="shared" si="45"/>
        <v>0</v>
      </c>
      <c r="AH174" s="142">
        <f t="shared" si="45"/>
        <v>0</v>
      </c>
      <c r="AI174" s="142">
        <f t="shared" si="45"/>
        <v>0</v>
      </c>
      <c r="AJ174" s="142">
        <f t="shared" si="45"/>
        <v>0</v>
      </c>
      <c r="AK174" s="142">
        <f t="shared" si="45"/>
        <v>0</v>
      </c>
      <c r="AL174" s="142">
        <f t="shared" si="45"/>
        <v>0.73</v>
      </c>
      <c r="AM174" s="142">
        <f>AM173+AM155+AM143+AM138+AM124+AM104+AM79+AM57+AM54+AM51+AM47+AM33+AM31+AM29+AM19+AM8+AM55</f>
        <v>1.6019999999999999</v>
      </c>
      <c r="AN174" s="142">
        <f>AN173+AN155+AN143+AN138+AN124+AN104+AN79+AN57+AN54+AN51+AN47+AN33+AN31+AN29+AN19+AN8</f>
        <v>0.078</v>
      </c>
      <c r="AO174" s="142">
        <f>AO173+AO155+AO143+AO138+AO124+AO104+AO79+AO57+AO54+AO51+AO47+AO33+AO31+AO29+AO19+AO8</f>
        <v>1.3</v>
      </c>
      <c r="AP174" s="142">
        <f>AP173+AP155+AP143+AP138+AP124+AP104+AP79+AP57+AP54+AP51+AP47+AP33+AP31+AP29+AP19+AP8</f>
        <v>0</v>
      </c>
      <c r="AQ174" s="142">
        <f>AQ173+AQ155+AQ143+AQ138+AQ124+AQ104+AQ79+AQ57+AQ54+AQ51+AQ47+AQ33+AQ31+AQ29+AQ19+AQ8+AQ55</f>
        <v>0.115</v>
      </c>
      <c r="AR174" s="142">
        <f>AR173+AR155+AR143+AR138+AR124+AR104+AR79+AR57+AR54+AR51+AR47+AR33+AR31+AR29+AR19+AR8</f>
        <v>13.007999999999997</v>
      </c>
      <c r="AS174" s="142">
        <f>AS173+AS155+AS143+AS138+AS124+AS104+AS79+AS57+AS54+AS51+AS47+AS33+AS31+AS29+AS19+AS8</f>
        <v>0</v>
      </c>
      <c r="AT174" s="142">
        <f>AT173+AT155+AT143+AT138+AT124+AT104+AT79+AT57+AT54+AT51+AT47+AT33+AT31+AT29+AT19+AT8</f>
        <v>0</v>
      </c>
      <c r="AU174" s="142">
        <f>SUM(AE174:AT174)</f>
        <v>21.701999999999998</v>
      </c>
    </row>
    <row r="175" spans="3:47" ht="12.75">
      <c r="C175" s="202"/>
      <c r="D175" s="5"/>
      <c r="E175" s="24"/>
      <c r="G175" s="8"/>
      <c r="H175" s="52"/>
      <c r="S175" s="94"/>
      <c r="T175" s="87"/>
      <c r="V175" s="36"/>
      <c r="W175" s="36"/>
      <c r="X175" s="36"/>
      <c r="Y175" s="36"/>
      <c r="Z175" s="36"/>
      <c r="AA175" s="36"/>
      <c r="AB175" s="37"/>
      <c r="AC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</row>
    <row r="176" spans="3:47" ht="12.75">
      <c r="C176" s="9"/>
      <c r="D176" s="5"/>
      <c r="E176" s="24"/>
      <c r="G176" s="8"/>
      <c r="H176" s="52"/>
      <c r="S176" s="94"/>
      <c r="T176" s="87"/>
      <c r="V176" s="36"/>
      <c r="W176" s="36"/>
      <c r="X176" s="36"/>
      <c r="Y176" s="36"/>
      <c r="Z176" s="36"/>
      <c r="AA176" s="36"/>
      <c r="AB176" s="37"/>
      <c r="AC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</row>
    <row r="177" spans="3:47" ht="18">
      <c r="C177" s="203" t="s">
        <v>1720</v>
      </c>
      <c r="D177" s="5"/>
      <c r="E177" s="24"/>
      <c r="G177" s="8"/>
      <c r="H177" s="52"/>
      <c r="S177" s="94"/>
      <c r="U177" s="53"/>
      <c r="V177" s="36"/>
      <c r="W177" s="36"/>
      <c r="X177" s="36"/>
      <c r="Y177" s="36"/>
      <c r="Z177" s="36"/>
      <c r="AA177" s="36"/>
      <c r="AB177" s="37"/>
      <c r="AC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</row>
    <row r="178" spans="1:47" ht="12.75" customHeight="1">
      <c r="A178" s="33" t="s">
        <v>1204</v>
      </c>
      <c r="B178" s="252" t="s">
        <v>1460</v>
      </c>
      <c r="C178" s="221" t="s">
        <v>565</v>
      </c>
      <c r="D178" s="155">
        <f>SUM(D179:D213)</f>
        <v>13.204</v>
      </c>
      <c r="E178" s="171"/>
      <c r="F178" s="171"/>
      <c r="G178" s="155">
        <f aca="true" t="shared" si="46" ref="G178:S178">SUM(G179:G213)</f>
        <v>1.406</v>
      </c>
      <c r="H178" s="222">
        <f t="shared" si="46"/>
        <v>0.178</v>
      </c>
      <c r="I178" s="124">
        <f t="shared" si="46"/>
        <v>0</v>
      </c>
      <c r="J178" s="124">
        <f t="shared" si="46"/>
        <v>0</v>
      </c>
      <c r="K178" s="124">
        <f t="shared" si="46"/>
        <v>0</v>
      </c>
      <c r="L178" s="124">
        <f t="shared" si="46"/>
        <v>0</v>
      </c>
      <c r="M178" s="124">
        <f t="shared" si="46"/>
        <v>2.047142857142857</v>
      </c>
      <c r="N178" s="124">
        <f t="shared" si="46"/>
        <v>2.047142857142857</v>
      </c>
      <c r="O178" s="124">
        <f t="shared" si="46"/>
        <v>2.047142857142857</v>
      </c>
      <c r="P178" s="124">
        <f t="shared" si="46"/>
        <v>2.047142857142857</v>
      </c>
      <c r="Q178" s="124">
        <f t="shared" si="46"/>
        <v>2.047142857142857</v>
      </c>
      <c r="R178" s="124">
        <f t="shared" si="46"/>
        <v>2.047142857142857</v>
      </c>
      <c r="S178" s="124">
        <f t="shared" si="46"/>
        <v>2.047142857142857</v>
      </c>
      <c r="T178" s="5">
        <f aca="true" t="shared" si="47" ref="T178:T187">SUM(H178:N178)</f>
        <v>4.272285714285714</v>
      </c>
      <c r="U178" s="53"/>
      <c r="V178" s="160">
        <f>SUM(V179:V213)</f>
        <v>0</v>
      </c>
      <c r="W178" s="160">
        <f aca="true" t="shared" si="48" ref="W178:AC178">SUM(W179:W213)</f>
        <v>0</v>
      </c>
      <c r="X178" s="160">
        <f t="shared" si="48"/>
        <v>0</v>
      </c>
      <c r="Y178" s="160">
        <f t="shared" si="48"/>
        <v>0</v>
      </c>
      <c r="Z178" s="160">
        <f t="shared" si="48"/>
        <v>0</v>
      </c>
      <c r="AA178" s="160">
        <f t="shared" si="48"/>
        <v>0</v>
      </c>
      <c r="AB178" s="160">
        <f t="shared" si="48"/>
        <v>0</v>
      </c>
      <c r="AC178" s="160">
        <f t="shared" si="48"/>
        <v>0</v>
      </c>
      <c r="AE178" s="160">
        <f aca="true" t="shared" si="49" ref="AE178:AU178">SUM(AE179:AE213)</f>
        <v>0</v>
      </c>
      <c r="AF178" s="160">
        <f t="shared" si="49"/>
        <v>0</v>
      </c>
      <c r="AG178" s="160">
        <f t="shared" si="49"/>
        <v>0</v>
      </c>
      <c r="AH178" s="160">
        <f t="shared" si="49"/>
        <v>0</v>
      </c>
      <c r="AI178" s="160">
        <f t="shared" si="49"/>
        <v>0</v>
      </c>
      <c r="AJ178" s="160">
        <f t="shared" si="49"/>
        <v>0</v>
      </c>
      <c r="AK178" s="160">
        <f t="shared" si="49"/>
        <v>0</v>
      </c>
      <c r="AL178" s="160">
        <f t="shared" si="49"/>
        <v>0</v>
      </c>
      <c r="AM178" s="160">
        <f t="shared" si="49"/>
        <v>0</v>
      </c>
      <c r="AN178" s="160">
        <f t="shared" si="49"/>
        <v>0</v>
      </c>
      <c r="AO178" s="160">
        <f t="shared" si="49"/>
        <v>0</v>
      </c>
      <c r="AP178" s="160">
        <f t="shared" si="49"/>
        <v>0</v>
      </c>
      <c r="AQ178" s="160">
        <f t="shared" si="49"/>
        <v>0</v>
      </c>
      <c r="AR178" s="160">
        <f t="shared" si="49"/>
        <v>0</v>
      </c>
      <c r="AS178" s="160">
        <f t="shared" si="49"/>
        <v>0</v>
      </c>
      <c r="AT178" s="160">
        <f t="shared" si="49"/>
        <v>0</v>
      </c>
      <c r="AU178" s="160">
        <f t="shared" si="49"/>
        <v>0</v>
      </c>
    </row>
    <row r="179" spans="1:47" ht="12.75" customHeight="1" hidden="1">
      <c r="A179" s="228"/>
      <c r="C179" s="199" t="s">
        <v>1072</v>
      </c>
      <c r="D179" s="26">
        <v>0.495</v>
      </c>
      <c r="E179" s="171"/>
      <c r="F179" s="171"/>
      <c r="G179" s="155">
        <v>0.011</v>
      </c>
      <c r="H179" s="91">
        <v>0.011</v>
      </c>
      <c r="I179" s="13">
        <v>0</v>
      </c>
      <c r="J179" s="13">
        <v>0</v>
      </c>
      <c r="K179" s="13">
        <v>0</v>
      </c>
      <c r="L179" s="13">
        <v>0</v>
      </c>
      <c r="M179" s="13">
        <v>0.06914285714285714</v>
      </c>
      <c r="N179" s="13">
        <v>0.06914285714285714</v>
      </c>
      <c r="O179" s="13">
        <v>0.06914285714285714</v>
      </c>
      <c r="P179" s="13">
        <v>0.06914285714285714</v>
      </c>
      <c r="Q179" s="13">
        <v>0.06914285714285714</v>
      </c>
      <c r="R179" s="13">
        <v>0.06914285714285714</v>
      </c>
      <c r="S179" s="13">
        <v>0.06914285714285714</v>
      </c>
      <c r="T179" s="5">
        <f t="shared" si="47"/>
        <v>0.1492857142857143</v>
      </c>
      <c r="U179" s="53"/>
      <c r="V179" s="36"/>
      <c r="W179" s="36"/>
      <c r="X179" s="36"/>
      <c r="Y179" s="36"/>
      <c r="Z179" s="36"/>
      <c r="AA179" s="36"/>
      <c r="AB179" s="37"/>
      <c r="AC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</row>
    <row r="180" spans="1:47" ht="12.75" customHeight="1" hidden="1">
      <c r="A180" s="228"/>
      <c r="C180" s="199" t="s">
        <v>1073</v>
      </c>
      <c r="D180" s="26">
        <v>0</v>
      </c>
      <c r="E180" s="171"/>
      <c r="F180" s="171"/>
      <c r="G180" s="155"/>
      <c r="H180" s="91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5">
        <f t="shared" si="47"/>
        <v>0</v>
      </c>
      <c r="U180" s="53"/>
      <c r="V180" s="36"/>
      <c r="W180" s="36"/>
      <c r="X180" s="36"/>
      <c r="Y180" s="36"/>
      <c r="Z180" s="36"/>
      <c r="AA180" s="36"/>
      <c r="AB180" s="37"/>
      <c r="AC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</row>
    <row r="181" spans="1:47" ht="12.75" customHeight="1" hidden="1">
      <c r="A181" s="228"/>
      <c r="C181" s="199" t="s">
        <v>1074</v>
      </c>
      <c r="D181" s="26">
        <v>0.3</v>
      </c>
      <c r="E181" s="171"/>
      <c r="F181" s="171"/>
      <c r="G181" s="155"/>
      <c r="H181" s="91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0.09685714285714286</v>
      </c>
      <c r="N181" s="13">
        <v>0.09685714285714286</v>
      </c>
      <c r="O181" s="13">
        <v>0.09685714285714286</v>
      </c>
      <c r="P181" s="13">
        <v>0.09685714285714286</v>
      </c>
      <c r="Q181" s="13">
        <v>0.09685714285714286</v>
      </c>
      <c r="R181" s="13">
        <v>0.09685714285714286</v>
      </c>
      <c r="S181" s="13">
        <v>0.09685714285714286</v>
      </c>
      <c r="T181" s="5">
        <f t="shared" si="47"/>
        <v>0.19371428571428573</v>
      </c>
      <c r="U181" s="53"/>
      <c r="V181" s="36"/>
      <c r="W181" s="36"/>
      <c r="X181" s="36"/>
      <c r="Y181" s="36"/>
      <c r="Z181" s="36"/>
      <c r="AA181" s="36"/>
      <c r="AB181" s="37"/>
      <c r="AC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</row>
    <row r="182" spans="1:47" ht="12.75" customHeight="1" hidden="1">
      <c r="A182" s="228"/>
      <c r="C182" s="199" t="s">
        <v>1092</v>
      </c>
      <c r="D182" s="26">
        <v>0.188</v>
      </c>
      <c r="E182" s="171"/>
      <c r="F182" s="171"/>
      <c r="G182" s="155"/>
      <c r="H182" s="91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0.026857142857142857</v>
      </c>
      <c r="N182" s="13">
        <v>0.026857142857142857</v>
      </c>
      <c r="O182" s="13">
        <v>0.026857142857142857</v>
      </c>
      <c r="P182" s="13">
        <v>0.026857142857142857</v>
      </c>
      <c r="Q182" s="13">
        <v>0.026857142857142857</v>
      </c>
      <c r="R182" s="13">
        <v>0.026857142857142857</v>
      </c>
      <c r="S182" s="13">
        <v>0.026857142857142857</v>
      </c>
      <c r="T182" s="5">
        <f t="shared" si="47"/>
        <v>0.053714285714285714</v>
      </c>
      <c r="U182" s="53"/>
      <c r="V182" s="36"/>
      <c r="W182" s="36"/>
      <c r="X182" s="36"/>
      <c r="Y182" s="36"/>
      <c r="Z182" s="36"/>
      <c r="AA182" s="36"/>
      <c r="AB182" s="37"/>
      <c r="AC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</row>
    <row r="183" spans="1:47" ht="12.75" customHeight="1" hidden="1">
      <c r="A183" s="228"/>
      <c r="C183" s="199" t="s">
        <v>1093</v>
      </c>
      <c r="D183" s="26">
        <v>0.335</v>
      </c>
      <c r="E183" s="171"/>
      <c r="F183" s="171"/>
      <c r="G183" s="155"/>
      <c r="H183" s="91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0.046</v>
      </c>
      <c r="N183" s="13">
        <v>0.046</v>
      </c>
      <c r="O183" s="13">
        <v>0.046</v>
      </c>
      <c r="P183" s="13">
        <v>0.046</v>
      </c>
      <c r="Q183" s="13">
        <v>0.046</v>
      </c>
      <c r="R183" s="13">
        <v>0.046</v>
      </c>
      <c r="S183" s="13">
        <v>0.046</v>
      </c>
      <c r="T183" s="5">
        <f t="shared" si="47"/>
        <v>0.092</v>
      </c>
      <c r="U183" s="53"/>
      <c r="V183" s="36"/>
      <c r="W183" s="36"/>
      <c r="X183" s="36"/>
      <c r="Y183" s="36"/>
      <c r="Z183" s="36"/>
      <c r="AA183" s="36"/>
      <c r="AB183" s="37"/>
      <c r="AC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</row>
    <row r="184" spans="1:47" ht="12.75" customHeight="1" hidden="1">
      <c r="A184" s="228"/>
      <c r="C184" s="199" t="s">
        <v>1094</v>
      </c>
      <c r="D184" s="26">
        <v>0.044</v>
      </c>
      <c r="E184" s="171"/>
      <c r="F184" s="171"/>
      <c r="G184" s="155"/>
      <c r="H184" s="91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0.030714285714285715</v>
      </c>
      <c r="N184" s="13">
        <v>0.030714285714285715</v>
      </c>
      <c r="O184" s="13">
        <v>0.030714285714285715</v>
      </c>
      <c r="P184" s="13">
        <v>0.030714285714285715</v>
      </c>
      <c r="Q184" s="13">
        <v>0.030714285714285715</v>
      </c>
      <c r="R184" s="13">
        <v>0.030714285714285715</v>
      </c>
      <c r="S184" s="13">
        <v>0.030714285714285715</v>
      </c>
      <c r="T184" s="5">
        <f t="shared" si="47"/>
        <v>0.06142857142857143</v>
      </c>
      <c r="U184" s="53"/>
      <c r="V184" s="36"/>
      <c r="W184" s="36"/>
      <c r="X184" s="36"/>
      <c r="Y184" s="36"/>
      <c r="Z184" s="36"/>
      <c r="AA184" s="36"/>
      <c r="AB184" s="37"/>
      <c r="AC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</row>
    <row r="185" spans="1:47" ht="12.75" customHeight="1" hidden="1">
      <c r="A185" s="228"/>
      <c r="C185" s="199" t="s">
        <v>1096</v>
      </c>
      <c r="D185" s="26">
        <v>0.107</v>
      </c>
      <c r="E185" s="171"/>
      <c r="F185" s="171"/>
      <c r="G185" s="155"/>
      <c r="H185" s="91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0.015285714285714286</v>
      </c>
      <c r="N185" s="13">
        <v>0.015285714285714286</v>
      </c>
      <c r="O185" s="13">
        <v>0.015285714285714286</v>
      </c>
      <c r="P185" s="13">
        <v>0.015285714285714286</v>
      </c>
      <c r="Q185" s="13">
        <v>0.015285714285714286</v>
      </c>
      <c r="R185" s="13">
        <v>0.015285714285714286</v>
      </c>
      <c r="S185" s="13">
        <v>0.015285714285714286</v>
      </c>
      <c r="T185" s="5">
        <f t="shared" si="47"/>
        <v>0.030571428571428572</v>
      </c>
      <c r="U185" s="53"/>
      <c r="V185" s="36"/>
      <c r="W185" s="36"/>
      <c r="X185" s="36"/>
      <c r="Y185" s="36"/>
      <c r="Z185" s="36"/>
      <c r="AA185" s="36"/>
      <c r="AB185" s="37"/>
      <c r="AC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</row>
    <row r="186" spans="1:47" ht="12.75" customHeight="1" hidden="1">
      <c r="A186" s="228"/>
      <c r="C186" s="199" t="s">
        <v>1097</v>
      </c>
      <c r="D186" s="26">
        <v>0.039</v>
      </c>
      <c r="E186" s="171"/>
      <c r="F186" s="171"/>
      <c r="G186" s="155"/>
      <c r="H186" s="91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0.007714285714285714</v>
      </c>
      <c r="N186" s="13">
        <v>0.007714285714285714</v>
      </c>
      <c r="O186" s="13">
        <v>0.007714285714285714</v>
      </c>
      <c r="P186" s="13">
        <v>0.007714285714285714</v>
      </c>
      <c r="Q186" s="13">
        <v>0.007714285714285714</v>
      </c>
      <c r="R186" s="13">
        <v>0.007714285714285714</v>
      </c>
      <c r="S186" s="13">
        <v>0.007714285714285714</v>
      </c>
      <c r="T186" s="5">
        <f t="shared" si="47"/>
        <v>0.015428571428571429</v>
      </c>
      <c r="U186" s="53"/>
      <c r="V186" s="36"/>
      <c r="W186" s="36"/>
      <c r="X186" s="36"/>
      <c r="Y186" s="36"/>
      <c r="Z186" s="36"/>
      <c r="AA186" s="36"/>
      <c r="AB186" s="37"/>
      <c r="AC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</row>
    <row r="187" spans="1:47" ht="12.75" customHeight="1" hidden="1">
      <c r="A187" s="228"/>
      <c r="C187" s="199" t="s">
        <v>1098</v>
      </c>
      <c r="D187" s="26">
        <v>0.011</v>
      </c>
      <c r="E187" s="171"/>
      <c r="F187" s="171"/>
      <c r="G187" s="155"/>
      <c r="H187" s="91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0.0015714285714285713</v>
      </c>
      <c r="N187" s="13">
        <v>0.0015714285714285713</v>
      </c>
      <c r="O187" s="13">
        <v>0.0015714285714285713</v>
      </c>
      <c r="P187" s="13">
        <v>0.0015714285714285713</v>
      </c>
      <c r="Q187" s="13">
        <v>0.0015714285714285713</v>
      </c>
      <c r="R187" s="13">
        <v>0.0015714285714285713</v>
      </c>
      <c r="S187" s="13">
        <v>0.0015714285714285713</v>
      </c>
      <c r="T187" s="5">
        <f t="shared" si="47"/>
        <v>0.0031428571428571426</v>
      </c>
      <c r="U187" s="53"/>
      <c r="V187" s="36"/>
      <c r="W187" s="36"/>
      <c r="X187" s="36"/>
      <c r="Y187" s="36"/>
      <c r="Z187" s="36"/>
      <c r="AA187" s="36"/>
      <c r="AB187" s="37"/>
      <c r="AC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</row>
    <row r="188" spans="1:47" ht="12.75" customHeight="1" hidden="1">
      <c r="A188" s="228"/>
      <c r="C188" s="199" t="s">
        <v>1330</v>
      </c>
      <c r="D188" s="26">
        <v>0.026</v>
      </c>
      <c r="E188" s="171"/>
      <c r="F188" s="171"/>
      <c r="G188" s="155">
        <v>0.026</v>
      </c>
      <c r="H188" s="91">
        <v>0.009</v>
      </c>
      <c r="I188" s="13">
        <v>0</v>
      </c>
      <c r="J188" s="13">
        <v>0</v>
      </c>
      <c r="K188" s="13">
        <v>0</v>
      </c>
      <c r="L188" s="13">
        <v>0</v>
      </c>
      <c r="M188" s="13">
        <v>0.002428571428571429</v>
      </c>
      <c r="N188" s="13">
        <v>0.002428571428571429</v>
      </c>
      <c r="O188" s="13">
        <v>0.002428571428571429</v>
      </c>
      <c r="P188" s="13">
        <v>0.002428571428571429</v>
      </c>
      <c r="Q188" s="13">
        <v>0.002428571428571429</v>
      </c>
      <c r="R188" s="13">
        <v>0.002428571428571429</v>
      </c>
      <c r="S188" s="13">
        <v>0.002428571428571429</v>
      </c>
      <c r="T188" s="5"/>
      <c r="U188" s="53"/>
      <c r="V188" s="36"/>
      <c r="W188" s="36"/>
      <c r="X188" s="36"/>
      <c r="Y188" s="36"/>
      <c r="Z188" s="36"/>
      <c r="AA188" s="36"/>
      <c r="AB188" s="37"/>
      <c r="AC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</row>
    <row r="189" spans="1:47" ht="12.75" customHeight="1" hidden="1">
      <c r="A189" s="228"/>
      <c r="C189" s="199" t="s">
        <v>567</v>
      </c>
      <c r="D189" s="26"/>
      <c r="E189" s="171"/>
      <c r="F189" s="171"/>
      <c r="G189" s="155"/>
      <c r="H189" s="91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5">
        <f aca="true" t="shared" si="50" ref="T189:T198">SUM(H189:N189)</f>
        <v>0</v>
      </c>
      <c r="U189" s="53"/>
      <c r="V189" s="36"/>
      <c r="W189" s="36"/>
      <c r="X189" s="36"/>
      <c r="Y189" s="36"/>
      <c r="Z189" s="36"/>
      <c r="AA189" s="36"/>
      <c r="AB189" s="37"/>
      <c r="AC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</row>
    <row r="190" spans="1:47" ht="12.75" customHeight="1" hidden="1">
      <c r="A190" s="228"/>
      <c r="C190" s="199" t="s">
        <v>1099</v>
      </c>
      <c r="D190" s="26">
        <v>0</v>
      </c>
      <c r="E190" s="171"/>
      <c r="F190" s="171"/>
      <c r="G190" s="155"/>
      <c r="H190" s="91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0.007857142857142858</v>
      </c>
      <c r="N190" s="13">
        <v>0.007857142857142858</v>
      </c>
      <c r="O190" s="13">
        <v>0.007857142857142858</v>
      </c>
      <c r="P190" s="13">
        <v>0.007857142857142858</v>
      </c>
      <c r="Q190" s="13">
        <v>0.007857142857142858</v>
      </c>
      <c r="R190" s="13">
        <v>0.007857142857142858</v>
      </c>
      <c r="S190" s="13">
        <v>0.007857142857142858</v>
      </c>
      <c r="T190" s="5">
        <f t="shared" si="50"/>
        <v>0.015714285714285715</v>
      </c>
      <c r="U190" s="53"/>
      <c r="V190" s="36"/>
      <c r="W190" s="36"/>
      <c r="X190" s="36"/>
      <c r="Y190" s="36"/>
      <c r="Z190" s="36"/>
      <c r="AA190" s="36"/>
      <c r="AB190" s="37"/>
      <c r="AC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</row>
    <row r="191" spans="1:47" ht="12.75" customHeight="1" hidden="1">
      <c r="A191" s="228"/>
      <c r="C191" s="199" t="s">
        <v>1100</v>
      </c>
      <c r="D191" s="26">
        <v>0.11</v>
      </c>
      <c r="E191" s="171"/>
      <c r="F191" s="171"/>
      <c r="G191" s="155">
        <v>0.02</v>
      </c>
      <c r="H191" s="91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0.008428571428571428</v>
      </c>
      <c r="N191" s="13">
        <v>0.008428571428571428</v>
      </c>
      <c r="O191" s="13">
        <v>0.008428571428571428</v>
      </c>
      <c r="P191" s="13">
        <v>0.008428571428571428</v>
      </c>
      <c r="Q191" s="13">
        <v>0.008428571428571428</v>
      </c>
      <c r="R191" s="13">
        <v>0.008428571428571428</v>
      </c>
      <c r="S191" s="13">
        <v>0.008428571428571428</v>
      </c>
      <c r="T191" s="5">
        <f t="shared" si="50"/>
        <v>0.016857142857142855</v>
      </c>
      <c r="U191" s="53"/>
      <c r="V191" s="36"/>
      <c r="W191" s="36"/>
      <c r="X191" s="36"/>
      <c r="Y191" s="36"/>
      <c r="Z191" s="36"/>
      <c r="AA191" s="36"/>
      <c r="AB191" s="37"/>
      <c r="AC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</row>
    <row r="192" spans="1:47" ht="12.75" customHeight="1" hidden="1">
      <c r="A192" s="228"/>
      <c r="C192" s="199" t="s">
        <v>1101</v>
      </c>
      <c r="D192" s="26">
        <v>0.215</v>
      </c>
      <c r="E192" s="171"/>
      <c r="F192" s="171"/>
      <c r="G192" s="155">
        <v>0.018</v>
      </c>
      <c r="H192" s="91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0.061142857142857145</v>
      </c>
      <c r="N192" s="13">
        <v>0.061142857142857145</v>
      </c>
      <c r="O192" s="13">
        <v>0.061142857142857145</v>
      </c>
      <c r="P192" s="13">
        <v>0.061142857142857145</v>
      </c>
      <c r="Q192" s="13">
        <v>0.061142857142857145</v>
      </c>
      <c r="R192" s="13">
        <v>0.061142857142857145</v>
      </c>
      <c r="S192" s="13">
        <v>0.061142857142857145</v>
      </c>
      <c r="T192" s="5">
        <f t="shared" si="50"/>
        <v>0.12228571428571429</v>
      </c>
      <c r="U192" s="53"/>
      <c r="V192" s="36"/>
      <c r="W192" s="36"/>
      <c r="X192" s="36"/>
      <c r="Y192" s="36"/>
      <c r="Z192" s="36"/>
      <c r="AA192" s="36"/>
      <c r="AB192" s="37"/>
      <c r="AC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</row>
    <row r="193" spans="1:47" ht="12.75" customHeight="1" hidden="1">
      <c r="A193" s="228"/>
      <c r="C193" s="199" t="s">
        <v>1102</v>
      </c>
      <c r="D193" s="26">
        <v>0.144</v>
      </c>
      <c r="E193" s="171"/>
      <c r="F193" s="171"/>
      <c r="G193" s="155">
        <v>0.131</v>
      </c>
      <c r="H193" s="91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0.023</v>
      </c>
      <c r="N193" s="13">
        <v>0.023</v>
      </c>
      <c r="O193" s="13">
        <v>0.023</v>
      </c>
      <c r="P193" s="13">
        <v>0.023</v>
      </c>
      <c r="Q193" s="13">
        <v>0.023</v>
      </c>
      <c r="R193" s="13">
        <v>0.023</v>
      </c>
      <c r="S193" s="13">
        <v>0.023</v>
      </c>
      <c r="T193" s="5">
        <f t="shared" si="50"/>
        <v>0.046</v>
      </c>
      <c r="U193" s="53"/>
      <c r="V193" s="36"/>
      <c r="W193" s="36"/>
      <c r="X193" s="36"/>
      <c r="Y193" s="36"/>
      <c r="Z193" s="36"/>
      <c r="AA193" s="36"/>
      <c r="AB193" s="37"/>
      <c r="AC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</row>
    <row r="194" spans="1:47" ht="12.75" customHeight="1" hidden="1">
      <c r="A194" s="228"/>
      <c r="C194" s="199" t="s">
        <v>1103</v>
      </c>
      <c r="D194" s="26">
        <v>0.213</v>
      </c>
      <c r="E194" s="171"/>
      <c r="F194" s="171"/>
      <c r="G194" s="155">
        <v>0.213</v>
      </c>
      <c r="H194" s="91">
        <v>0.158</v>
      </c>
      <c r="I194" s="13">
        <v>0</v>
      </c>
      <c r="J194" s="13">
        <v>0</v>
      </c>
      <c r="K194" s="13">
        <v>0</v>
      </c>
      <c r="L194" s="13">
        <v>0</v>
      </c>
      <c r="M194" s="13">
        <v>0.0058571428571428585</v>
      </c>
      <c r="N194" s="13">
        <v>0.0058571428571428585</v>
      </c>
      <c r="O194" s="13">
        <v>0.0058571428571428585</v>
      </c>
      <c r="P194" s="13">
        <v>0.0058571428571428585</v>
      </c>
      <c r="Q194" s="13">
        <v>0.0058571428571428585</v>
      </c>
      <c r="R194" s="13">
        <v>0.0058571428571428585</v>
      </c>
      <c r="S194" s="13">
        <v>0.0058571428571428585</v>
      </c>
      <c r="T194" s="5">
        <f t="shared" si="50"/>
        <v>0.16971428571428573</v>
      </c>
      <c r="U194" s="53"/>
      <c r="V194" s="36"/>
      <c r="W194" s="36"/>
      <c r="X194" s="36"/>
      <c r="Y194" s="36"/>
      <c r="Z194" s="36"/>
      <c r="AA194" s="36"/>
      <c r="AB194" s="37"/>
      <c r="AC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</row>
    <row r="195" spans="1:47" ht="12.75" customHeight="1" hidden="1">
      <c r="A195" s="228"/>
      <c r="C195" s="199" t="s">
        <v>1104</v>
      </c>
      <c r="D195" s="26">
        <v>0</v>
      </c>
      <c r="E195" s="171"/>
      <c r="F195" s="171"/>
      <c r="G195" s="155"/>
      <c r="H195" s="91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5">
        <f t="shared" si="50"/>
        <v>0</v>
      </c>
      <c r="U195" s="53"/>
      <c r="V195" s="36"/>
      <c r="W195" s="36"/>
      <c r="X195" s="36"/>
      <c r="Y195" s="36"/>
      <c r="Z195" s="36"/>
      <c r="AA195" s="36"/>
      <c r="AB195" s="37"/>
      <c r="AC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</row>
    <row r="196" spans="1:47" ht="12.75" customHeight="1" hidden="1">
      <c r="A196" s="228"/>
      <c r="C196" s="199" t="s">
        <v>1105</v>
      </c>
      <c r="D196" s="26">
        <v>0.042</v>
      </c>
      <c r="E196" s="171"/>
      <c r="F196" s="171"/>
      <c r="G196" s="155"/>
      <c r="H196" s="91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0.003857142857142857</v>
      </c>
      <c r="N196" s="13">
        <v>0.003857142857142857</v>
      </c>
      <c r="O196" s="13">
        <v>0.003857142857142857</v>
      </c>
      <c r="P196" s="13">
        <v>0.003857142857142857</v>
      </c>
      <c r="Q196" s="13">
        <v>0.003857142857142857</v>
      </c>
      <c r="R196" s="13">
        <v>0.003857142857142857</v>
      </c>
      <c r="S196" s="13">
        <v>0.003857142857142857</v>
      </c>
      <c r="T196" s="5">
        <f t="shared" si="50"/>
        <v>0.007714285714285714</v>
      </c>
      <c r="U196" s="53"/>
      <c r="V196" s="36"/>
      <c r="W196" s="36"/>
      <c r="X196" s="36"/>
      <c r="Y196" s="36"/>
      <c r="Z196" s="36"/>
      <c r="AA196" s="36"/>
      <c r="AB196" s="37"/>
      <c r="AC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</row>
    <row r="197" spans="1:47" ht="12.75" customHeight="1" hidden="1">
      <c r="A197" s="228"/>
      <c r="C197" s="199" t="s">
        <v>1106</v>
      </c>
      <c r="D197" s="26">
        <v>0</v>
      </c>
      <c r="E197" s="171"/>
      <c r="F197" s="171"/>
      <c r="G197" s="155"/>
      <c r="H197" s="91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5">
        <f t="shared" si="50"/>
        <v>0</v>
      </c>
      <c r="U197" s="53"/>
      <c r="V197" s="36"/>
      <c r="W197" s="36"/>
      <c r="X197" s="36"/>
      <c r="Y197" s="36"/>
      <c r="Z197" s="36"/>
      <c r="AA197" s="36"/>
      <c r="AB197" s="37"/>
      <c r="AC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</row>
    <row r="198" spans="1:47" ht="12.75" customHeight="1" hidden="1">
      <c r="A198" s="228"/>
      <c r="C198" s="199" t="s">
        <v>1120</v>
      </c>
      <c r="D198" s="26">
        <v>0</v>
      </c>
      <c r="E198" s="171"/>
      <c r="F198" s="171"/>
      <c r="G198" s="155"/>
      <c r="H198" s="91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5">
        <f t="shared" si="50"/>
        <v>0</v>
      </c>
      <c r="U198" s="53"/>
      <c r="V198" s="36"/>
      <c r="W198" s="36"/>
      <c r="X198" s="36"/>
      <c r="Y198" s="36"/>
      <c r="Z198" s="36"/>
      <c r="AA198" s="36"/>
      <c r="AB198" s="37"/>
      <c r="AC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</row>
    <row r="199" spans="1:47" ht="12.75" customHeight="1" hidden="1">
      <c r="A199" s="228"/>
      <c r="C199" s="199" t="s">
        <v>1552</v>
      </c>
      <c r="D199" s="26">
        <v>0.041</v>
      </c>
      <c r="E199" s="171"/>
      <c r="F199" s="171"/>
      <c r="G199" s="155">
        <v>0.041</v>
      </c>
      <c r="H199" s="91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6"/>
      <c r="U199" s="53"/>
      <c r="V199" s="36"/>
      <c r="W199" s="36"/>
      <c r="X199" s="36"/>
      <c r="Y199" s="36"/>
      <c r="Z199" s="36"/>
      <c r="AA199" s="36"/>
      <c r="AB199" s="37"/>
      <c r="AC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</row>
    <row r="200" spans="1:47" ht="12.75" customHeight="1" hidden="1">
      <c r="A200" s="228"/>
      <c r="C200" s="199" t="s">
        <v>568</v>
      </c>
      <c r="D200" s="26"/>
      <c r="E200" s="171"/>
      <c r="F200" s="171"/>
      <c r="G200" s="155"/>
      <c r="H200" s="52"/>
      <c r="S200" s="94"/>
      <c r="U200" s="53"/>
      <c r="V200" s="36"/>
      <c r="W200" s="36"/>
      <c r="X200" s="36"/>
      <c r="Y200" s="36"/>
      <c r="Z200" s="36"/>
      <c r="AA200" s="36"/>
      <c r="AB200" s="37"/>
      <c r="AC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</row>
    <row r="201" spans="1:47" ht="12.75" customHeight="1" hidden="1">
      <c r="A201" s="228"/>
      <c r="C201" s="199" t="s">
        <v>1121</v>
      </c>
      <c r="D201" s="26">
        <v>0.524</v>
      </c>
      <c r="E201" s="173"/>
      <c r="F201" s="173">
        <v>38443</v>
      </c>
      <c r="G201" s="155"/>
      <c r="H201" s="91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0.06757142857142857</v>
      </c>
      <c r="N201" s="13">
        <v>0.06757142857142857</v>
      </c>
      <c r="O201" s="13">
        <v>0.06757142857142857</v>
      </c>
      <c r="P201" s="13">
        <v>0.06757142857142857</v>
      </c>
      <c r="Q201" s="13">
        <v>0.06757142857142857</v>
      </c>
      <c r="R201" s="13">
        <v>0.06757142857142857</v>
      </c>
      <c r="S201" s="13">
        <v>0.06757142857142857</v>
      </c>
      <c r="T201" s="5">
        <f aca="true" t="shared" si="51" ref="T201:T213">SUM(H201:N201)</f>
        <v>0.13514285714285715</v>
      </c>
      <c r="U201" s="53"/>
      <c r="V201" s="36"/>
      <c r="W201" s="36"/>
      <c r="X201" s="36"/>
      <c r="Y201" s="36"/>
      <c r="Z201" s="36"/>
      <c r="AA201" s="36"/>
      <c r="AB201" s="37"/>
      <c r="AC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</row>
    <row r="202" spans="1:47" ht="12.75" customHeight="1" hidden="1">
      <c r="A202" s="228"/>
      <c r="C202" s="199" t="s">
        <v>1131</v>
      </c>
      <c r="D202" s="26">
        <v>0.695</v>
      </c>
      <c r="E202" s="173"/>
      <c r="F202" s="173">
        <v>38443</v>
      </c>
      <c r="G202" s="155">
        <v>0.133</v>
      </c>
      <c r="H202" s="91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0.10185714285714285</v>
      </c>
      <c r="N202" s="13">
        <v>0.10185714285714285</v>
      </c>
      <c r="O202" s="13">
        <v>0.10185714285714285</v>
      </c>
      <c r="P202" s="13">
        <v>0.10185714285714285</v>
      </c>
      <c r="Q202" s="13">
        <v>0.10185714285714285</v>
      </c>
      <c r="R202" s="13">
        <v>0.10185714285714285</v>
      </c>
      <c r="S202" s="13">
        <v>0.10185714285714285</v>
      </c>
      <c r="T202" s="5">
        <f t="shared" si="51"/>
        <v>0.2037142857142857</v>
      </c>
      <c r="U202" s="53"/>
      <c r="V202" s="36"/>
      <c r="W202" s="36"/>
      <c r="X202" s="36"/>
      <c r="Y202" s="36"/>
      <c r="Z202" s="36"/>
      <c r="AA202" s="36"/>
      <c r="AB202" s="37"/>
      <c r="AC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</row>
    <row r="203" spans="1:47" ht="12.75" customHeight="1" hidden="1">
      <c r="A203" s="228"/>
      <c r="C203" s="199" t="s">
        <v>1132</v>
      </c>
      <c r="D203" s="26">
        <v>0.591</v>
      </c>
      <c r="E203" s="173"/>
      <c r="F203" s="173">
        <v>38353</v>
      </c>
      <c r="G203" s="155">
        <v>0.099</v>
      </c>
      <c r="H203" s="91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0.09928571428571428</v>
      </c>
      <c r="N203" s="13">
        <v>0.09928571428571428</v>
      </c>
      <c r="O203" s="13">
        <v>0.09928571428571428</v>
      </c>
      <c r="P203" s="13">
        <v>0.09928571428571428</v>
      </c>
      <c r="Q203" s="13">
        <v>0.09928571428571428</v>
      </c>
      <c r="R203" s="13">
        <v>0.09928571428571428</v>
      </c>
      <c r="S203" s="13">
        <v>0.09928571428571428</v>
      </c>
      <c r="T203" s="5">
        <f t="shared" si="51"/>
        <v>0.19857142857142857</v>
      </c>
      <c r="U203" s="53"/>
      <c r="V203" s="36"/>
      <c r="W203" s="36"/>
      <c r="X203" s="36"/>
      <c r="Y203" s="36"/>
      <c r="Z203" s="36"/>
      <c r="AA203" s="36"/>
      <c r="AB203" s="37"/>
      <c r="AC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</row>
    <row r="204" spans="1:47" ht="12.75" customHeight="1" hidden="1">
      <c r="A204" s="228"/>
      <c r="C204" s="199" t="s">
        <v>1146</v>
      </c>
      <c r="D204" s="26">
        <v>1.096</v>
      </c>
      <c r="E204" s="173"/>
      <c r="F204" s="173">
        <v>38384</v>
      </c>
      <c r="G204" s="155">
        <v>0.088</v>
      </c>
      <c r="H204" s="91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0.116</v>
      </c>
      <c r="N204" s="13">
        <v>0.116</v>
      </c>
      <c r="O204" s="13">
        <v>0.116</v>
      </c>
      <c r="P204" s="13">
        <v>0.116</v>
      </c>
      <c r="Q204" s="13">
        <v>0.116</v>
      </c>
      <c r="R204" s="13">
        <v>0.116</v>
      </c>
      <c r="S204" s="13">
        <v>0.116</v>
      </c>
      <c r="T204" s="5">
        <f t="shared" si="51"/>
        <v>0.232</v>
      </c>
      <c r="U204" s="53"/>
      <c r="V204" s="36"/>
      <c r="W204" s="36"/>
      <c r="X204" s="36"/>
      <c r="Y204" s="36"/>
      <c r="Z204" s="36"/>
      <c r="AA204" s="36"/>
      <c r="AB204" s="37"/>
      <c r="AC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>
        <f>SUM(AE204:AT204)</f>
        <v>0</v>
      </c>
    </row>
    <row r="205" spans="1:47" ht="12.75" customHeight="1" hidden="1">
      <c r="A205" s="228"/>
      <c r="C205" s="199" t="s">
        <v>1147</v>
      </c>
      <c r="D205" s="26">
        <v>0.551</v>
      </c>
      <c r="E205" s="173"/>
      <c r="F205" s="173">
        <v>38384</v>
      </c>
      <c r="G205" s="155">
        <v>0.162</v>
      </c>
      <c r="H205" s="91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0.10442857142857143</v>
      </c>
      <c r="N205" s="13">
        <v>0.10442857142857143</v>
      </c>
      <c r="O205" s="13">
        <v>0.10442857142857143</v>
      </c>
      <c r="P205" s="13">
        <v>0.10442857142857143</v>
      </c>
      <c r="Q205" s="13">
        <v>0.10442857142857143</v>
      </c>
      <c r="R205" s="13">
        <v>0.10442857142857143</v>
      </c>
      <c r="S205" s="13">
        <v>0.10442857142857143</v>
      </c>
      <c r="T205" s="5">
        <f t="shared" si="51"/>
        <v>0.20885714285714285</v>
      </c>
      <c r="U205" s="53"/>
      <c r="V205" s="36"/>
      <c r="W205" s="36"/>
      <c r="X205" s="36"/>
      <c r="Y205" s="36"/>
      <c r="Z205" s="36"/>
      <c r="AA205" s="36"/>
      <c r="AB205" s="37"/>
      <c r="AC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>
        <f>SUM(AE205:AT205)</f>
        <v>0</v>
      </c>
    </row>
    <row r="206" spans="1:47" ht="12.75" customHeight="1" hidden="1">
      <c r="A206" s="228"/>
      <c r="B206" s="27"/>
      <c r="C206" s="199" t="s">
        <v>1148</v>
      </c>
      <c r="D206" s="26">
        <v>2.14</v>
      </c>
      <c r="E206" s="173"/>
      <c r="F206" s="173">
        <v>38353</v>
      </c>
      <c r="G206" s="155">
        <v>0.165</v>
      </c>
      <c r="H206" s="91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0.3218571428571429</v>
      </c>
      <c r="N206" s="13">
        <v>0.3218571428571429</v>
      </c>
      <c r="O206" s="13">
        <v>0.3218571428571429</v>
      </c>
      <c r="P206" s="13">
        <v>0.3218571428571429</v>
      </c>
      <c r="Q206" s="13">
        <v>0.3218571428571429</v>
      </c>
      <c r="R206" s="13">
        <v>0.3218571428571429</v>
      </c>
      <c r="S206" s="13">
        <v>0.3218571428571429</v>
      </c>
      <c r="T206" s="5">
        <f t="shared" si="51"/>
        <v>0.6437142857142858</v>
      </c>
      <c r="U206" s="53"/>
      <c r="V206" s="36"/>
      <c r="W206" s="36"/>
      <c r="X206" s="36"/>
      <c r="Y206" s="36"/>
      <c r="Z206" s="36"/>
      <c r="AA206" s="36"/>
      <c r="AB206" s="37"/>
      <c r="AC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</row>
    <row r="207" spans="1:47" ht="12.75" customHeight="1" hidden="1">
      <c r="A207" s="228"/>
      <c r="B207" s="27"/>
      <c r="C207" s="199" t="s">
        <v>1159</v>
      </c>
      <c r="D207" s="26">
        <v>0.378</v>
      </c>
      <c r="E207" s="173"/>
      <c r="F207" s="173">
        <v>38412</v>
      </c>
      <c r="G207" s="155"/>
      <c r="H207" s="91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0.1207142857142857</v>
      </c>
      <c r="N207" s="13">
        <v>0.1207142857142857</v>
      </c>
      <c r="O207" s="13">
        <v>0.1207142857142857</v>
      </c>
      <c r="P207" s="13">
        <v>0.1207142857142857</v>
      </c>
      <c r="Q207" s="13">
        <v>0.1207142857142857</v>
      </c>
      <c r="R207" s="13">
        <v>0.1207142857142857</v>
      </c>
      <c r="S207" s="13">
        <v>0.1207142857142857</v>
      </c>
      <c r="T207" s="5">
        <f t="shared" si="51"/>
        <v>0.2414285714285714</v>
      </c>
      <c r="U207" s="53"/>
      <c r="V207" s="36"/>
      <c r="W207" s="36"/>
      <c r="X207" s="36"/>
      <c r="Y207" s="36"/>
      <c r="Z207" s="36"/>
      <c r="AA207" s="36"/>
      <c r="AB207" s="37"/>
      <c r="AC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</row>
    <row r="208" spans="1:47" ht="12.75" customHeight="1" hidden="1">
      <c r="A208" s="228"/>
      <c r="B208" s="27"/>
      <c r="C208" s="199" t="s">
        <v>1160</v>
      </c>
      <c r="D208" s="26">
        <v>0.854</v>
      </c>
      <c r="E208" s="173"/>
      <c r="F208" s="170">
        <v>38384</v>
      </c>
      <c r="G208" s="155">
        <v>0.12</v>
      </c>
      <c r="H208" s="91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0.12414285714285714</v>
      </c>
      <c r="N208" s="13">
        <v>0.12414285714285714</v>
      </c>
      <c r="O208" s="13">
        <v>0.12414285714285714</v>
      </c>
      <c r="P208" s="13">
        <v>0.12414285714285714</v>
      </c>
      <c r="Q208" s="13">
        <v>0.12414285714285714</v>
      </c>
      <c r="R208" s="13">
        <v>0.12414285714285714</v>
      </c>
      <c r="S208" s="13">
        <v>0.12414285714285714</v>
      </c>
      <c r="T208" s="5">
        <f t="shared" si="51"/>
        <v>0.24828571428571428</v>
      </c>
      <c r="U208" s="53"/>
      <c r="V208" s="36"/>
      <c r="W208" s="230"/>
      <c r="X208" s="36"/>
      <c r="Y208" s="36"/>
      <c r="Z208" s="36"/>
      <c r="AA208" s="36"/>
      <c r="AB208" s="37"/>
      <c r="AC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>
        <f>SUM(AE208:AT208)</f>
        <v>0</v>
      </c>
    </row>
    <row r="209" spans="1:47" ht="12.75" customHeight="1" hidden="1">
      <c r="A209" s="228"/>
      <c r="B209" s="27"/>
      <c r="C209" s="199" t="s">
        <v>1161</v>
      </c>
      <c r="D209" s="26">
        <v>1.159</v>
      </c>
      <c r="E209" s="173"/>
      <c r="F209" s="170">
        <v>38384</v>
      </c>
      <c r="G209" s="155"/>
      <c r="H209" s="91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0.20614285714285716</v>
      </c>
      <c r="N209" s="13">
        <v>0.20614285714285716</v>
      </c>
      <c r="O209" s="13">
        <v>0.20614285714285716</v>
      </c>
      <c r="P209" s="13">
        <v>0.20614285714285716</v>
      </c>
      <c r="Q209" s="13">
        <v>0.20614285714285716</v>
      </c>
      <c r="R209" s="13">
        <v>0.20614285714285716</v>
      </c>
      <c r="S209" s="13">
        <v>0.20614285714285716</v>
      </c>
      <c r="T209" s="5">
        <f t="shared" si="51"/>
        <v>0.4122857142857143</v>
      </c>
      <c r="U209" s="53"/>
      <c r="V209" s="36"/>
      <c r="W209" s="36"/>
      <c r="X209" s="36"/>
      <c r="Y209" s="36"/>
      <c r="Z209" s="36"/>
      <c r="AA209" s="36"/>
      <c r="AB209" s="37"/>
      <c r="AC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>
        <f aca="true" t="shared" si="52" ref="AU209:AU215">SUM(AE209:AT209)</f>
        <v>0</v>
      </c>
    </row>
    <row r="210" spans="1:47" ht="12.75" customHeight="1" hidden="1">
      <c r="A210" s="228"/>
      <c r="B210" s="27"/>
      <c r="C210" s="199" t="s">
        <v>1162</v>
      </c>
      <c r="D210" s="26">
        <v>0.476</v>
      </c>
      <c r="E210" s="173"/>
      <c r="F210" s="170">
        <v>38384</v>
      </c>
      <c r="G210" s="155"/>
      <c r="H210" s="91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0.08885714285714286</v>
      </c>
      <c r="N210" s="13">
        <v>0.08885714285714286</v>
      </c>
      <c r="O210" s="13">
        <v>0.08885714285714286</v>
      </c>
      <c r="P210" s="13">
        <v>0.08885714285714286</v>
      </c>
      <c r="Q210" s="13">
        <v>0.08885714285714286</v>
      </c>
      <c r="R210" s="13">
        <v>0.08885714285714286</v>
      </c>
      <c r="S210" s="13">
        <v>0.08885714285714286</v>
      </c>
      <c r="T210" s="5">
        <f t="shared" si="51"/>
        <v>0.1777142857142857</v>
      </c>
      <c r="U210" s="53"/>
      <c r="V210" s="36"/>
      <c r="W210" s="36"/>
      <c r="X210" s="36"/>
      <c r="Y210" s="36"/>
      <c r="Z210" s="36"/>
      <c r="AA210" s="36"/>
      <c r="AB210" s="37"/>
      <c r="AC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>
        <f t="shared" si="52"/>
        <v>0</v>
      </c>
    </row>
    <row r="211" spans="1:47" ht="12.75" customHeight="1" hidden="1">
      <c r="A211" s="228"/>
      <c r="B211" s="27"/>
      <c r="C211" s="199" t="s">
        <v>1163</v>
      </c>
      <c r="D211" s="26">
        <v>0.517</v>
      </c>
      <c r="F211" s="173">
        <v>38412</v>
      </c>
      <c r="G211" s="155"/>
      <c r="H211" s="91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0.07371428571428572</v>
      </c>
      <c r="N211" s="13">
        <v>0.07371428571428572</v>
      </c>
      <c r="O211" s="13">
        <v>0.07371428571428572</v>
      </c>
      <c r="P211" s="13">
        <v>0.07371428571428572</v>
      </c>
      <c r="Q211" s="13">
        <v>0.07371428571428572</v>
      </c>
      <c r="R211" s="13">
        <v>0.07371428571428572</v>
      </c>
      <c r="S211" s="13">
        <v>0.07371428571428572</v>
      </c>
      <c r="T211" s="5">
        <f t="shared" si="51"/>
        <v>0.14742857142857144</v>
      </c>
      <c r="U211" s="53"/>
      <c r="V211" s="36"/>
      <c r="W211" s="230"/>
      <c r="X211" s="36"/>
      <c r="Y211" s="36"/>
      <c r="Z211" s="36"/>
      <c r="AA211" s="36"/>
      <c r="AB211" s="37"/>
      <c r="AC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>
        <f t="shared" si="52"/>
        <v>0</v>
      </c>
    </row>
    <row r="212" spans="1:47" ht="12.75" customHeight="1" hidden="1">
      <c r="A212" s="228"/>
      <c r="B212" s="27"/>
      <c r="C212" s="199" t="s">
        <v>1164</v>
      </c>
      <c r="D212" s="26">
        <v>0.914</v>
      </c>
      <c r="F212" s="170">
        <v>38353</v>
      </c>
      <c r="G212" s="155"/>
      <c r="H212" s="91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0.1152857142857143</v>
      </c>
      <c r="N212" s="13">
        <v>0.1152857142857143</v>
      </c>
      <c r="O212" s="13">
        <v>0.1152857142857143</v>
      </c>
      <c r="P212" s="13">
        <v>0.1152857142857143</v>
      </c>
      <c r="Q212" s="13">
        <v>0.1152857142857143</v>
      </c>
      <c r="R212" s="13">
        <v>0.1152857142857143</v>
      </c>
      <c r="S212" s="13">
        <v>0.1152857142857143</v>
      </c>
      <c r="T212" s="5">
        <f t="shared" si="51"/>
        <v>0.2305714285714286</v>
      </c>
      <c r="U212" s="53"/>
      <c r="V212" s="36"/>
      <c r="W212" s="230"/>
      <c r="X212" s="36"/>
      <c r="Y212" s="36"/>
      <c r="Z212" s="36"/>
      <c r="AA212" s="36"/>
      <c r="AB212" s="37"/>
      <c r="AC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>
        <f t="shared" si="52"/>
        <v>0</v>
      </c>
    </row>
    <row r="213" spans="1:47" ht="12.75" customHeight="1" hidden="1">
      <c r="A213" s="228"/>
      <c r="B213" s="27"/>
      <c r="C213" s="199" t="s">
        <v>1165</v>
      </c>
      <c r="D213" s="26">
        <v>0.999</v>
      </c>
      <c r="F213" s="170"/>
      <c r="G213" s="155">
        <v>0.179</v>
      </c>
      <c r="H213" s="91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0.10057142857142856</v>
      </c>
      <c r="N213" s="13">
        <v>0.10057142857142856</v>
      </c>
      <c r="O213" s="13">
        <v>0.10057142857142856</v>
      </c>
      <c r="P213" s="13">
        <v>0.10057142857142856</v>
      </c>
      <c r="Q213" s="13">
        <v>0.10057142857142856</v>
      </c>
      <c r="R213" s="13">
        <v>0.10057142857142856</v>
      </c>
      <c r="S213" s="13">
        <v>0.10057142857142856</v>
      </c>
      <c r="T213" s="5">
        <f t="shared" si="51"/>
        <v>0.20114285714285712</v>
      </c>
      <c r="U213" s="53"/>
      <c r="V213" s="36"/>
      <c r="W213" s="230"/>
      <c r="X213" s="36"/>
      <c r="Y213" s="36"/>
      <c r="Z213" s="36"/>
      <c r="AA213" s="36"/>
      <c r="AB213" s="37"/>
      <c r="AC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>
        <f t="shared" si="52"/>
        <v>0</v>
      </c>
    </row>
    <row r="214" spans="1:47" ht="12.75" customHeight="1">
      <c r="A214" s="33" t="s">
        <v>1205</v>
      </c>
      <c r="B214" s="252" t="s">
        <v>1460</v>
      </c>
      <c r="C214" s="199" t="s">
        <v>569</v>
      </c>
      <c r="D214" s="26">
        <f>SUM(D215:D238)</f>
        <v>1.0190000000000001</v>
      </c>
      <c r="E214" s="171"/>
      <c r="F214" s="170"/>
      <c r="G214" s="26">
        <f>SUM(G215:G238)</f>
        <v>0.139</v>
      </c>
      <c r="H214" s="90">
        <f>SUM(H215:H237)</f>
        <v>0</v>
      </c>
      <c r="I214" s="33">
        <f>SUM(I215:I237)</f>
        <v>0</v>
      </c>
      <c r="J214" s="33">
        <f>SUM(J215:J237)</f>
        <v>0</v>
      </c>
      <c r="K214" s="33">
        <f aca="true" t="shared" si="53" ref="K214:S214">SUM(K215:K237)</f>
        <v>0</v>
      </c>
      <c r="L214" s="33">
        <f t="shared" si="53"/>
        <v>0</v>
      </c>
      <c r="M214" s="33">
        <f t="shared" si="53"/>
        <v>0.20185714285714287</v>
      </c>
      <c r="N214" s="33">
        <f t="shared" si="53"/>
        <v>0.20185714285714287</v>
      </c>
      <c r="O214" s="33">
        <f t="shared" si="53"/>
        <v>0.20185714285714287</v>
      </c>
      <c r="P214" s="33">
        <f t="shared" si="53"/>
        <v>0.20185714285714287</v>
      </c>
      <c r="Q214" s="33">
        <f t="shared" si="53"/>
        <v>0.20185714285714287</v>
      </c>
      <c r="R214" s="33">
        <f t="shared" si="53"/>
        <v>0.20185714285714287</v>
      </c>
      <c r="S214" s="33">
        <f t="shared" si="53"/>
        <v>0.20185714285714287</v>
      </c>
      <c r="T214" s="26">
        <f>SUM(T215:T238)</f>
        <v>0.40371428571428575</v>
      </c>
      <c r="U214" s="53"/>
      <c r="V214" s="37">
        <f>SUM(V215:V237)</f>
        <v>0</v>
      </c>
      <c r="W214" s="37">
        <f aca="true" t="shared" si="54" ref="W214:AC214">SUM(W215:W237)</f>
        <v>0</v>
      </c>
      <c r="X214" s="37">
        <f t="shared" si="54"/>
        <v>0</v>
      </c>
      <c r="Y214" s="37">
        <f t="shared" si="54"/>
        <v>0</v>
      </c>
      <c r="Z214" s="37">
        <f t="shared" si="54"/>
        <v>0</v>
      </c>
      <c r="AA214" s="37">
        <f t="shared" si="54"/>
        <v>0</v>
      </c>
      <c r="AB214" s="37">
        <f t="shared" si="54"/>
        <v>0</v>
      </c>
      <c r="AC214" s="37">
        <f t="shared" si="54"/>
        <v>0</v>
      </c>
      <c r="AE214" s="37">
        <f aca="true" t="shared" si="55" ref="AE214:AT214">SUM(AE215:AE237)</f>
        <v>0</v>
      </c>
      <c r="AF214" s="37">
        <f t="shared" si="55"/>
        <v>0</v>
      </c>
      <c r="AG214" s="37">
        <f t="shared" si="55"/>
        <v>0</v>
      </c>
      <c r="AH214" s="37">
        <f t="shared" si="55"/>
        <v>0</v>
      </c>
      <c r="AI214" s="37">
        <f t="shared" si="55"/>
        <v>0</v>
      </c>
      <c r="AJ214" s="37">
        <f t="shared" si="55"/>
        <v>0</v>
      </c>
      <c r="AK214" s="37">
        <f t="shared" si="55"/>
        <v>0</v>
      </c>
      <c r="AL214" s="37">
        <f t="shared" si="55"/>
        <v>0</v>
      </c>
      <c r="AM214" s="37">
        <f t="shared" si="55"/>
        <v>0</v>
      </c>
      <c r="AN214" s="37">
        <f t="shared" si="55"/>
        <v>0</v>
      </c>
      <c r="AO214" s="37">
        <f t="shared" si="55"/>
        <v>0</v>
      </c>
      <c r="AP214" s="37">
        <f t="shared" si="55"/>
        <v>0</v>
      </c>
      <c r="AQ214" s="37">
        <f t="shared" si="55"/>
        <v>0</v>
      </c>
      <c r="AR214" s="37">
        <f t="shared" si="55"/>
        <v>0</v>
      </c>
      <c r="AS214" s="37">
        <f t="shared" si="55"/>
        <v>0</v>
      </c>
      <c r="AT214" s="37">
        <f t="shared" si="55"/>
        <v>0</v>
      </c>
      <c r="AU214" s="37">
        <f t="shared" si="52"/>
        <v>0</v>
      </c>
    </row>
    <row r="215" spans="2:47" ht="12.75" hidden="1">
      <c r="B215" s="27"/>
      <c r="C215" s="199" t="s">
        <v>1166</v>
      </c>
      <c r="D215" s="192">
        <v>0.017</v>
      </c>
      <c r="F215" s="170">
        <v>38169</v>
      </c>
      <c r="G215" s="155">
        <v>0.009</v>
      </c>
      <c r="H215" s="91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0.007</v>
      </c>
      <c r="N215" s="13">
        <v>0.007</v>
      </c>
      <c r="O215" s="13">
        <v>0.007</v>
      </c>
      <c r="P215" s="13">
        <v>0.007</v>
      </c>
      <c r="Q215" s="13">
        <v>0.007</v>
      </c>
      <c r="R215" s="13">
        <v>0.007</v>
      </c>
      <c r="S215" s="13">
        <v>0.007</v>
      </c>
      <c r="T215" s="5">
        <f aca="true" t="shared" si="56" ref="T215:T237">SUM(H215:N215)</f>
        <v>0.014</v>
      </c>
      <c r="U215" s="53"/>
      <c r="V215" s="36"/>
      <c r="W215" s="36"/>
      <c r="X215" s="36"/>
      <c r="Y215" s="36"/>
      <c r="Z215" s="36"/>
      <c r="AA215" s="36"/>
      <c r="AB215" s="37"/>
      <c r="AC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>
        <f t="shared" si="52"/>
        <v>0</v>
      </c>
    </row>
    <row r="216" spans="2:47" ht="12.75" hidden="1">
      <c r="B216" s="27"/>
      <c r="C216" s="199" t="s">
        <v>1167</v>
      </c>
      <c r="D216" s="194">
        <v>0.05</v>
      </c>
      <c r="F216" s="169">
        <v>38169</v>
      </c>
      <c r="G216" s="155">
        <v>0.022</v>
      </c>
      <c r="H216" s="91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0.008142857142857143</v>
      </c>
      <c r="N216" s="13">
        <v>0.008142857142857143</v>
      </c>
      <c r="O216" s="13">
        <v>0.008142857142857143</v>
      </c>
      <c r="P216" s="13">
        <v>0.008142857142857143</v>
      </c>
      <c r="Q216" s="13">
        <v>0.008142857142857143</v>
      </c>
      <c r="R216" s="13">
        <v>0.008142857142857143</v>
      </c>
      <c r="S216" s="13">
        <v>0.008142857142857143</v>
      </c>
      <c r="T216" s="5">
        <f t="shared" si="56"/>
        <v>0.016285714285714285</v>
      </c>
      <c r="U216" s="53"/>
      <c r="V216" s="36"/>
      <c r="W216" s="36"/>
      <c r="X216" s="36"/>
      <c r="Y216" s="36"/>
      <c r="Z216" s="36"/>
      <c r="AA216" s="36"/>
      <c r="AB216" s="37"/>
      <c r="AC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</row>
    <row r="217" spans="2:47" ht="12.75" hidden="1">
      <c r="B217" s="27"/>
      <c r="C217" s="199" t="s">
        <v>1168</v>
      </c>
      <c r="D217" s="192">
        <v>0.132</v>
      </c>
      <c r="E217" s="173"/>
      <c r="F217" s="173">
        <v>38231</v>
      </c>
      <c r="G217" s="155">
        <v>0.036</v>
      </c>
      <c r="H217" s="91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0.022571428571428572</v>
      </c>
      <c r="N217" s="13">
        <v>0.022571428571428572</v>
      </c>
      <c r="O217" s="13">
        <v>0.022571428571428572</v>
      </c>
      <c r="P217" s="13">
        <v>0.022571428571428572</v>
      </c>
      <c r="Q217" s="13">
        <v>0.022571428571428572</v>
      </c>
      <c r="R217" s="13">
        <v>0.022571428571428572</v>
      </c>
      <c r="S217" s="13">
        <v>0.022571428571428572</v>
      </c>
      <c r="T217" s="5">
        <f t="shared" si="56"/>
        <v>0.045142857142857144</v>
      </c>
      <c r="U217" s="53"/>
      <c r="V217" s="36"/>
      <c r="W217" s="36"/>
      <c r="X217" s="36"/>
      <c r="Y217" s="36"/>
      <c r="Z217" s="36"/>
      <c r="AA217" s="36"/>
      <c r="AB217" s="37"/>
      <c r="AC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</row>
    <row r="218" spans="2:47" ht="12.75" hidden="1">
      <c r="B218" s="27"/>
      <c r="C218" s="199" t="s">
        <v>1169</v>
      </c>
      <c r="D218" s="192">
        <v>0.105</v>
      </c>
      <c r="E218" s="173"/>
      <c r="F218" s="173">
        <v>38231</v>
      </c>
      <c r="G218" s="155">
        <v>0.02</v>
      </c>
      <c r="H218" s="91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0.012142857142857144</v>
      </c>
      <c r="N218" s="13">
        <v>0.012142857142857144</v>
      </c>
      <c r="O218" s="13">
        <v>0.012142857142857144</v>
      </c>
      <c r="P218" s="13">
        <v>0.012142857142857144</v>
      </c>
      <c r="Q218" s="13">
        <v>0.012142857142857144</v>
      </c>
      <c r="R218" s="13">
        <v>0.012142857142857144</v>
      </c>
      <c r="S218" s="13">
        <v>0.012142857142857144</v>
      </c>
      <c r="T218" s="5">
        <f t="shared" si="56"/>
        <v>0.02428571428571429</v>
      </c>
      <c r="U218" s="53"/>
      <c r="V218" s="36"/>
      <c r="W218" s="36"/>
      <c r="X218" s="36"/>
      <c r="Y218" s="36"/>
      <c r="Z218" s="36"/>
      <c r="AA218" s="36"/>
      <c r="AB218" s="37"/>
      <c r="AC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</row>
    <row r="219" spans="2:47" ht="12.75" hidden="1">
      <c r="B219" s="27"/>
      <c r="C219" s="199" t="s">
        <v>1170</v>
      </c>
      <c r="D219" s="192">
        <v>0.017</v>
      </c>
      <c r="E219" s="173"/>
      <c r="F219" s="173">
        <v>38261</v>
      </c>
      <c r="G219" s="155"/>
      <c r="H219" s="91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0.003428571428571429</v>
      </c>
      <c r="N219" s="13">
        <v>0.003428571428571429</v>
      </c>
      <c r="O219" s="13">
        <v>0.003428571428571429</v>
      </c>
      <c r="P219" s="13">
        <v>0.003428571428571429</v>
      </c>
      <c r="Q219" s="13">
        <v>0.003428571428571429</v>
      </c>
      <c r="R219" s="13">
        <v>0.003428571428571429</v>
      </c>
      <c r="S219" s="13">
        <v>0.003428571428571429</v>
      </c>
      <c r="T219" s="5">
        <f t="shared" si="56"/>
        <v>0.006857142857142858</v>
      </c>
      <c r="U219" s="53"/>
      <c r="V219" s="36"/>
      <c r="W219" s="36"/>
      <c r="X219" s="36"/>
      <c r="Y219" s="36"/>
      <c r="Z219" s="36"/>
      <c r="AA219" s="36"/>
      <c r="AB219" s="37"/>
      <c r="AC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</row>
    <row r="220" spans="2:47" ht="12.75" hidden="1">
      <c r="B220" s="27"/>
      <c r="C220" s="199" t="s">
        <v>1171</v>
      </c>
      <c r="D220" s="192">
        <v>0.007</v>
      </c>
      <c r="E220" s="173"/>
      <c r="F220" s="173">
        <v>38261</v>
      </c>
      <c r="G220" s="155"/>
      <c r="H220" s="91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0.0015714285714285713</v>
      </c>
      <c r="N220" s="13">
        <v>0.0015714285714285713</v>
      </c>
      <c r="O220" s="13">
        <v>0.0015714285714285713</v>
      </c>
      <c r="P220" s="13">
        <v>0.0015714285714285713</v>
      </c>
      <c r="Q220" s="13">
        <v>0.0015714285714285713</v>
      </c>
      <c r="R220" s="13">
        <v>0.0015714285714285713</v>
      </c>
      <c r="S220" s="13">
        <v>0.0015714285714285713</v>
      </c>
      <c r="T220" s="5">
        <f t="shared" si="56"/>
        <v>0.0031428571428571426</v>
      </c>
      <c r="U220" s="53"/>
      <c r="V220" s="36"/>
      <c r="W220" s="36"/>
      <c r="X220" s="36"/>
      <c r="Y220" s="36"/>
      <c r="Z220" s="36"/>
      <c r="AA220" s="36"/>
      <c r="AB220" s="37"/>
      <c r="AC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</row>
    <row r="221" spans="2:47" ht="12.75" hidden="1">
      <c r="B221" s="27"/>
      <c r="C221" s="199" t="s">
        <v>1172</v>
      </c>
      <c r="D221" s="192">
        <v>0.021</v>
      </c>
      <c r="E221" s="173"/>
      <c r="F221" s="173">
        <v>38231</v>
      </c>
      <c r="G221" s="155">
        <v>0.006</v>
      </c>
      <c r="H221" s="91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0.005571428571428572</v>
      </c>
      <c r="N221" s="13">
        <v>0.005571428571428572</v>
      </c>
      <c r="O221" s="13">
        <v>0.005571428571428572</v>
      </c>
      <c r="P221" s="13">
        <v>0.005571428571428572</v>
      </c>
      <c r="Q221" s="13">
        <v>0.005571428571428572</v>
      </c>
      <c r="R221" s="13">
        <v>0.005571428571428572</v>
      </c>
      <c r="S221" s="13">
        <v>0.005571428571428572</v>
      </c>
      <c r="T221" s="5">
        <f t="shared" si="56"/>
        <v>0.011142857142857144</v>
      </c>
      <c r="U221" s="53"/>
      <c r="V221" s="36"/>
      <c r="W221" s="36"/>
      <c r="X221" s="36"/>
      <c r="Y221" s="36"/>
      <c r="Z221" s="36"/>
      <c r="AA221" s="36"/>
      <c r="AB221" s="37"/>
      <c r="AC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</row>
    <row r="222" spans="2:47" ht="12.75" hidden="1">
      <c r="B222" s="27"/>
      <c r="C222" s="199" t="s">
        <v>1173</v>
      </c>
      <c r="D222" s="192">
        <v>0.055</v>
      </c>
      <c r="E222" s="173"/>
      <c r="F222" s="173">
        <v>38292</v>
      </c>
      <c r="G222" s="155">
        <v>0.003</v>
      </c>
      <c r="H222" s="91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0.016714285714285716</v>
      </c>
      <c r="N222" s="13">
        <v>0.016714285714285716</v>
      </c>
      <c r="O222" s="13">
        <v>0.016714285714285716</v>
      </c>
      <c r="P222" s="13">
        <v>0.016714285714285716</v>
      </c>
      <c r="Q222" s="13">
        <v>0.016714285714285716</v>
      </c>
      <c r="R222" s="13">
        <v>0.016714285714285716</v>
      </c>
      <c r="S222" s="13">
        <v>0.016714285714285716</v>
      </c>
      <c r="T222" s="5">
        <f t="shared" si="56"/>
        <v>0.03342857142857143</v>
      </c>
      <c r="U222" s="53"/>
      <c r="V222" s="36"/>
      <c r="W222" s="36"/>
      <c r="X222" s="36"/>
      <c r="Y222" s="36"/>
      <c r="Z222" s="36"/>
      <c r="AA222" s="36"/>
      <c r="AB222" s="37"/>
      <c r="AC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</row>
    <row r="223" spans="2:47" ht="12.75" hidden="1">
      <c r="B223" s="27"/>
      <c r="C223" s="199" t="s">
        <v>1174</v>
      </c>
      <c r="D223" s="192">
        <v>0.031</v>
      </c>
      <c r="E223" s="173"/>
      <c r="F223" s="173">
        <v>38292</v>
      </c>
      <c r="G223" s="155"/>
      <c r="H223" s="91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0.007571428571428571</v>
      </c>
      <c r="N223" s="13">
        <v>0.007571428571428571</v>
      </c>
      <c r="O223" s="13">
        <v>0.007571428571428571</v>
      </c>
      <c r="P223" s="13">
        <v>0.007571428571428571</v>
      </c>
      <c r="Q223" s="13">
        <v>0.007571428571428571</v>
      </c>
      <c r="R223" s="13">
        <v>0.007571428571428571</v>
      </c>
      <c r="S223" s="13">
        <v>0.007571428571428571</v>
      </c>
      <c r="T223" s="5">
        <f t="shared" si="56"/>
        <v>0.015142857142857142</v>
      </c>
      <c r="U223" s="53"/>
      <c r="V223" s="36"/>
      <c r="W223" s="36"/>
      <c r="X223" s="36"/>
      <c r="Y223" s="36"/>
      <c r="Z223" s="36"/>
      <c r="AA223" s="36"/>
      <c r="AB223" s="37"/>
      <c r="AC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</row>
    <row r="224" spans="2:47" ht="12.75" hidden="1">
      <c r="B224" s="27"/>
      <c r="C224" s="199" t="s">
        <v>1175</v>
      </c>
      <c r="D224" s="192">
        <v>0.031</v>
      </c>
      <c r="E224" s="173"/>
      <c r="F224" s="173">
        <v>38322</v>
      </c>
      <c r="G224" s="155"/>
      <c r="H224" s="91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0.012142857142857144</v>
      </c>
      <c r="N224" s="13">
        <v>0.012142857142857144</v>
      </c>
      <c r="O224" s="13">
        <v>0.012142857142857144</v>
      </c>
      <c r="P224" s="13">
        <v>0.012142857142857144</v>
      </c>
      <c r="Q224" s="13">
        <v>0.012142857142857144</v>
      </c>
      <c r="R224" s="13">
        <v>0.012142857142857144</v>
      </c>
      <c r="S224" s="13">
        <v>0.012142857142857144</v>
      </c>
      <c r="T224" s="5">
        <f t="shared" si="56"/>
        <v>0.02428571428571429</v>
      </c>
      <c r="U224" s="53"/>
      <c r="V224" s="36"/>
      <c r="W224" s="36"/>
      <c r="X224" s="36"/>
      <c r="Y224" s="36"/>
      <c r="Z224" s="36"/>
      <c r="AA224" s="36"/>
      <c r="AB224" s="37"/>
      <c r="AC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</row>
    <row r="225" spans="2:47" ht="12.75" hidden="1">
      <c r="B225" s="27"/>
      <c r="C225" s="199" t="s">
        <v>1178</v>
      </c>
      <c r="D225" s="192">
        <v>0.069</v>
      </c>
      <c r="E225" s="173"/>
      <c r="F225" s="173">
        <v>38322</v>
      </c>
      <c r="G225" s="155"/>
      <c r="H225" s="91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0.009857142857142858</v>
      </c>
      <c r="N225" s="13">
        <v>0.009857142857142858</v>
      </c>
      <c r="O225" s="13">
        <v>0.009857142857142858</v>
      </c>
      <c r="P225" s="13">
        <v>0.009857142857142858</v>
      </c>
      <c r="Q225" s="13">
        <v>0.009857142857142858</v>
      </c>
      <c r="R225" s="13">
        <v>0.009857142857142858</v>
      </c>
      <c r="S225" s="13">
        <v>0.009857142857142858</v>
      </c>
      <c r="T225" s="5">
        <f t="shared" si="56"/>
        <v>0.019714285714285715</v>
      </c>
      <c r="U225" s="53"/>
      <c r="V225" s="36"/>
      <c r="W225" s="36"/>
      <c r="X225" s="36"/>
      <c r="Y225" s="36"/>
      <c r="Z225" s="36"/>
      <c r="AA225" s="36"/>
      <c r="AB225" s="37"/>
      <c r="AC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</row>
    <row r="226" spans="2:47" ht="12.75" hidden="1">
      <c r="B226" s="27"/>
      <c r="C226" s="199" t="s">
        <v>1179</v>
      </c>
      <c r="D226" s="192">
        <v>0.054</v>
      </c>
      <c r="E226" s="173"/>
      <c r="F226" s="173">
        <v>38353</v>
      </c>
      <c r="G226" s="155"/>
      <c r="H226" s="91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0.007714285714285714</v>
      </c>
      <c r="N226" s="13">
        <v>0.007714285714285714</v>
      </c>
      <c r="O226" s="13">
        <v>0.007714285714285714</v>
      </c>
      <c r="P226" s="13">
        <v>0.007714285714285714</v>
      </c>
      <c r="Q226" s="13">
        <v>0.007714285714285714</v>
      </c>
      <c r="R226" s="13">
        <v>0.007714285714285714</v>
      </c>
      <c r="S226" s="13">
        <v>0.007714285714285714</v>
      </c>
      <c r="T226" s="5">
        <f t="shared" si="56"/>
        <v>0.015428571428571429</v>
      </c>
      <c r="U226" s="53"/>
      <c r="V226" s="36"/>
      <c r="W226" s="36"/>
      <c r="X226" s="36"/>
      <c r="Y226" s="36"/>
      <c r="Z226" s="36"/>
      <c r="AA226" s="36"/>
      <c r="AB226" s="37"/>
      <c r="AC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</row>
    <row r="227" spans="2:47" ht="12.75" hidden="1">
      <c r="B227" s="27"/>
      <c r="C227" s="199" t="s">
        <v>1180</v>
      </c>
      <c r="D227" s="192">
        <v>0.065</v>
      </c>
      <c r="E227" s="173"/>
      <c r="F227" s="173">
        <v>38353</v>
      </c>
      <c r="G227" s="155"/>
      <c r="H227" s="91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0.009285714285714286</v>
      </c>
      <c r="N227" s="13">
        <v>0.009285714285714286</v>
      </c>
      <c r="O227" s="13">
        <v>0.009285714285714286</v>
      </c>
      <c r="P227" s="13">
        <v>0.009285714285714286</v>
      </c>
      <c r="Q227" s="13">
        <v>0.009285714285714286</v>
      </c>
      <c r="R227" s="13">
        <v>0.009285714285714286</v>
      </c>
      <c r="S227" s="13">
        <v>0.009285714285714286</v>
      </c>
      <c r="T227" s="5">
        <f t="shared" si="56"/>
        <v>0.018571428571428572</v>
      </c>
      <c r="U227" s="53"/>
      <c r="V227" s="36"/>
      <c r="W227" s="36"/>
      <c r="X227" s="36"/>
      <c r="Y227" s="36"/>
      <c r="Z227" s="36"/>
      <c r="AA227" s="36"/>
      <c r="AB227" s="37"/>
      <c r="AC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</row>
    <row r="228" spans="2:47" ht="12.75" hidden="1">
      <c r="B228" s="27"/>
      <c r="C228" s="199" t="s">
        <v>1181</v>
      </c>
      <c r="D228" s="194">
        <v>0.07</v>
      </c>
      <c r="E228" s="173"/>
      <c r="F228" s="173">
        <v>38384</v>
      </c>
      <c r="G228" s="155"/>
      <c r="H228" s="91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5">
        <f t="shared" si="56"/>
        <v>0</v>
      </c>
      <c r="U228" s="53"/>
      <c r="V228" s="36"/>
      <c r="W228" s="36"/>
      <c r="X228" s="36"/>
      <c r="Y228" s="36"/>
      <c r="Z228" s="36"/>
      <c r="AA228" s="36"/>
      <c r="AB228" s="37"/>
      <c r="AC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</row>
    <row r="229" spans="2:47" ht="12.75" hidden="1">
      <c r="B229" s="27"/>
      <c r="C229" s="199" t="s">
        <v>1182</v>
      </c>
      <c r="D229" s="192">
        <v>0.096</v>
      </c>
      <c r="E229" s="173"/>
      <c r="F229" s="173">
        <v>38384</v>
      </c>
      <c r="G229" s="155"/>
      <c r="H229" s="91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5">
        <f t="shared" si="56"/>
        <v>0</v>
      </c>
      <c r="U229" s="53"/>
      <c r="V229" s="36"/>
      <c r="W229" s="36"/>
      <c r="X229" s="36"/>
      <c r="Y229" s="36"/>
      <c r="Z229" s="36"/>
      <c r="AA229" s="36"/>
      <c r="AB229" s="37"/>
      <c r="AC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</row>
    <row r="230" spans="2:47" ht="12.75" hidden="1">
      <c r="B230" s="27"/>
      <c r="C230" s="199" t="s">
        <v>1183</v>
      </c>
      <c r="D230" s="194">
        <v>0.06</v>
      </c>
      <c r="E230" s="173"/>
      <c r="F230" s="173">
        <v>38412</v>
      </c>
      <c r="G230" s="155"/>
      <c r="H230" s="91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5">
        <f t="shared" si="56"/>
        <v>0</v>
      </c>
      <c r="U230" s="53"/>
      <c r="V230" s="36"/>
      <c r="W230" s="36"/>
      <c r="X230" s="36"/>
      <c r="Y230" s="36"/>
      <c r="Z230" s="36"/>
      <c r="AA230" s="36"/>
      <c r="AB230" s="37"/>
      <c r="AC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</row>
    <row r="231" spans="2:47" ht="12.75" hidden="1">
      <c r="B231" s="27"/>
      <c r="C231" s="199" t="s">
        <v>1184</v>
      </c>
      <c r="D231" s="192"/>
      <c r="E231" s="173"/>
      <c r="F231" s="173">
        <v>38443</v>
      </c>
      <c r="G231" s="155"/>
      <c r="H231" s="91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5">
        <f t="shared" si="56"/>
        <v>0</v>
      </c>
      <c r="U231" s="53"/>
      <c r="V231" s="36"/>
      <c r="W231" s="36"/>
      <c r="X231" s="36"/>
      <c r="Y231" s="36"/>
      <c r="Z231" s="36"/>
      <c r="AA231" s="36"/>
      <c r="AB231" s="37"/>
      <c r="AC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</row>
    <row r="232" spans="2:47" ht="12.75" hidden="1">
      <c r="B232" s="27"/>
      <c r="C232" s="199" t="s">
        <v>1185</v>
      </c>
      <c r="D232" s="192"/>
      <c r="E232" s="173"/>
      <c r="F232" s="173">
        <v>38353</v>
      </c>
      <c r="G232" s="155"/>
      <c r="H232" s="91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5">
        <f t="shared" si="56"/>
        <v>0</v>
      </c>
      <c r="U232" s="53"/>
      <c r="V232" s="36"/>
      <c r="W232" s="36"/>
      <c r="X232" s="36"/>
      <c r="Y232" s="36"/>
      <c r="Z232" s="36"/>
      <c r="AA232" s="36"/>
      <c r="AB232" s="37"/>
      <c r="AC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</row>
    <row r="233" spans="2:47" ht="12.75" hidden="1">
      <c r="B233" s="27"/>
      <c r="C233" s="199" t="s">
        <v>1186</v>
      </c>
      <c r="D233" s="194">
        <v>0</v>
      </c>
      <c r="E233" s="173"/>
      <c r="F233" s="159">
        <v>38292</v>
      </c>
      <c r="G233" s="155"/>
      <c r="H233" s="91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0.03142857142857143</v>
      </c>
      <c r="N233" s="13">
        <v>0.03142857142857143</v>
      </c>
      <c r="O233" s="13">
        <v>0.03142857142857143</v>
      </c>
      <c r="P233" s="13">
        <v>0.03142857142857143</v>
      </c>
      <c r="Q233" s="13">
        <v>0.03142857142857143</v>
      </c>
      <c r="R233" s="13">
        <v>0.03142857142857143</v>
      </c>
      <c r="S233" s="13">
        <v>0.03142857142857143</v>
      </c>
      <c r="T233" s="5">
        <f t="shared" si="56"/>
        <v>0.06285714285714286</v>
      </c>
      <c r="U233" s="53"/>
      <c r="V233" s="36"/>
      <c r="W233" s="36"/>
      <c r="X233" s="36"/>
      <c r="Y233" s="36"/>
      <c r="Z233" s="36"/>
      <c r="AA233" s="36"/>
      <c r="AB233" s="37"/>
      <c r="AC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</row>
    <row r="234" spans="2:47" ht="12.75" hidden="1">
      <c r="B234" s="27"/>
      <c r="C234" s="199" t="s">
        <v>1187</v>
      </c>
      <c r="D234" s="192">
        <v>0.062</v>
      </c>
      <c r="E234" s="173"/>
      <c r="F234" s="159">
        <v>38231</v>
      </c>
      <c r="G234" s="155">
        <v>0.036</v>
      </c>
      <c r="H234" s="91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0.02157142857142857</v>
      </c>
      <c r="N234" s="13">
        <v>0.02157142857142857</v>
      </c>
      <c r="O234" s="13">
        <v>0.02157142857142857</v>
      </c>
      <c r="P234" s="13">
        <v>0.02157142857142857</v>
      </c>
      <c r="Q234" s="13">
        <v>0.02157142857142857</v>
      </c>
      <c r="R234" s="13">
        <v>0.02157142857142857</v>
      </c>
      <c r="S234" s="13">
        <v>0.02157142857142857</v>
      </c>
      <c r="T234" s="5">
        <f t="shared" si="56"/>
        <v>0.04314285714285714</v>
      </c>
      <c r="U234" s="53"/>
      <c r="V234" s="36"/>
      <c r="W234" s="36"/>
      <c r="X234" s="36"/>
      <c r="Y234" s="36"/>
      <c r="Z234" s="36"/>
      <c r="AA234" s="36"/>
      <c r="AB234" s="37"/>
      <c r="AC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</row>
    <row r="235" spans="2:47" ht="12.75" hidden="1">
      <c r="B235" s="27"/>
      <c r="C235" s="199" t="s">
        <v>1188</v>
      </c>
      <c r="D235" s="194">
        <v>0.07</v>
      </c>
      <c r="E235" s="173"/>
      <c r="F235" s="159">
        <v>38687</v>
      </c>
      <c r="G235" s="155"/>
      <c r="H235" s="91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0.02514285714285714</v>
      </c>
      <c r="N235" s="13">
        <v>0.02514285714285714</v>
      </c>
      <c r="O235" s="13">
        <v>0.02514285714285714</v>
      </c>
      <c r="P235" s="13">
        <v>0.02514285714285714</v>
      </c>
      <c r="Q235" s="13">
        <v>0.02514285714285714</v>
      </c>
      <c r="R235" s="13">
        <v>0.02514285714285714</v>
      </c>
      <c r="S235" s="13">
        <v>0.02514285714285714</v>
      </c>
      <c r="T235" s="5">
        <f t="shared" si="56"/>
        <v>0.05028571428571428</v>
      </c>
      <c r="U235" s="53"/>
      <c r="V235" s="36"/>
      <c r="W235" s="36"/>
      <c r="X235" s="36"/>
      <c r="Y235" s="36"/>
      <c r="Z235" s="36"/>
      <c r="AA235" s="36"/>
      <c r="AB235" s="37"/>
      <c r="AC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</row>
    <row r="236" spans="2:47" ht="12.75" hidden="1">
      <c r="B236" s="27"/>
      <c r="C236" s="199" t="s">
        <v>1189</v>
      </c>
      <c r="D236" s="192"/>
      <c r="E236" s="173"/>
      <c r="F236" s="159">
        <v>38412</v>
      </c>
      <c r="G236" s="155"/>
      <c r="H236" s="91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5">
        <f t="shared" si="56"/>
        <v>0</v>
      </c>
      <c r="U236" s="53"/>
      <c r="V236" s="36"/>
      <c r="W236" s="36"/>
      <c r="X236" s="36"/>
      <c r="Y236" s="36"/>
      <c r="Z236" s="36"/>
      <c r="AA236" s="36"/>
      <c r="AB236" s="37"/>
      <c r="AC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</row>
    <row r="237" spans="2:47" ht="12.75" hidden="1">
      <c r="B237" s="27"/>
      <c r="C237" s="199" t="s">
        <v>1197</v>
      </c>
      <c r="D237" s="192"/>
      <c r="E237" s="173"/>
      <c r="F237" s="159">
        <v>38078</v>
      </c>
      <c r="G237" s="155"/>
      <c r="H237" s="91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5">
        <f t="shared" si="56"/>
        <v>0</v>
      </c>
      <c r="U237" s="53"/>
      <c r="V237" s="36"/>
      <c r="W237" s="36"/>
      <c r="X237" s="36"/>
      <c r="Y237" s="36"/>
      <c r="Z237" s="36"/>
      <c r="AA237" s="36"/>
      <c r="AB237" s="37"/>
      <c r="AC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</row>
    <row r="238" spans="2:47" ht="12.75" hidden="1">
      <c r="B238" s="196"/>
      <c r="C238" s="206" t="s">
        <v>1332</v>
      </c>
      <c r="D238" s="193">
        <v>0.007</v>
      </c>
      <c r="E238" s="158"/>
      <c r="F238" s="159"/>
      <c r="G238" s="155">
        <v>0.007</v>
      </c>
      <c r="H238" s="91">
        <v>0.006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5"/>
      <c r="U238" s="53"/>
      <c r="V238" s="36"/>
      <c r="W238" s="36"/>
      <c r="X238" s="36"/>
      <c r="Y238" s="36"/>
      <c r="Z238" s="36"/>
      <c r="AA238" s="36"/>
      <c r="AB238" s="37"/>
      <c r="AC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</row>
    <row r="239" spans="1:47" ht="12.75">
      <c r="A239" s="33" t="s">
        <v>1206</v>
      </c>
      <c r="B239" s="252" t="s">
        <v>1460</v>
      </c>
      <c r="C239" s="199" t="s">
        <v>566</v>
      </c>
      <c r="D239" s="194">
        <f>SUM(D240:D265)</f>
        <v>1.4759999999999998</v>
      </c>
      <c r="E239" s="171"/>
      <c r="F239" s="159"/>
      <c r="G239" s="194">
        <f>SUM(G240:G265)</f>
        <v>1.2359999999999998</v>
      </c>
      <c r="H239" s="229">
        <f>SUM(H240:H265)</f>
        <v>1.021</v>
      </c>
      <c r="I239" s="88">
        <f>SUM(I240:I265)</f>
        <v>0</v>
      </c>
      <c r="J239" s="88">
        <f>SUM(J240:J265)</f>
        <v>0</v>
      </c>
      <c r="K239" s="88">
        <f aca="true" t="shared" si="57" ref="K239:T239">SUM(K240:K265)</f>
        <v>0</v>
      </c>
      <c r="L239" s="88">
        <f t="shared" si="57"/>
        <v>0</v>
      </c>
      <c r="M239" s="88">
        <f t="shared" si="57"/>
        <v>0.06499999999999999</v>
      </c>
      <c r="N239" s="88">
        <f t="shared" si="57"/>
        <v>0.06499999999999999</v>
      </c>
      <c r="O239" s="88">
        <f t="shared" si="57"/>
        <v>0.06499999999999999</v>
      </c>
      <c r="P239" s="88">
        <f t="shared" si="57"/>
        <v>0.06499999999999999</v>
      </c>
      <c r="Q239" s="88">
        <f t="shared" si="57"/>
        <v>0.06499999999999999</v>
      </c>
      <c r="R239" s="88">
        <f t="shared" si="57"/>
        <v>0.06499999999999999</v>
      </c>
      <c r="S239" s="88">
        <f t="shared" si="57"/>
        <v>0.06499999999999999</v>
      </c>
      <c r="T239" s="194">
        <f t="shared" si="57"/>
        <v>1.1480000000000001</v>
      </c>
      <c r="U239" s="229"/>
      <c r="V239" s="231">
        <f>SUM(V240:V265)</f>
        <v>0</v>
      </c>
      <c r="W239" s="231">
        <f aca="true" t="shared" si="58" ref="W239:AC239">SUM(W240:W265)</f>
        <v>0</v>
      </c>
      <c r="X239" s="231">
        <f t="shared" si="58"/>
        <v>0</v>
      </c>
      <c r="Y239" s="231">
        <f t="shared" si="58"/>
        <v>0</v>
      </c>
      <c r="Z239" s="231">
        <f t="shared" si="58"/>
        <v>0</v>
      </c>
      <c r="AA239" s="231">
        <f t="shared" si="58"/>
        <v>0</v>
      </c>
      <c r="AB239" s="231">
        <f t="shared" si="58"/>
        <v>0</v>
      </c>
      <c r="AC239" s="231">
        <f t="shared" si="58"/>
        <v>0</v>
      </c>
      <c r="AE239" s="231">
        <f aca="true" t="shared" si="59" ref="AE239:AU239">SUM(AE240:AE265)</f>
        <v>0</v>
      </c>
      <c r="AF239" s="231">
        <f t="shared" si="59"/>
        <v>0</v>
      </c>
      <c r="AG239" s="231">
        <f t="shared" si="59"/>
        <v>0</v>
      </c>
      <c r="AH239" s="231">
        <f t="shared" si="59"/>
        <v>0</v>
      </c>
      <c r="AI239" s="231">
        <f t="shared" si="59"/>
        <v>0</v>
      </c>
      <c r="AJ239" s="231">
        <f t="shared" si="59"/>
        <v>0</v>
      </c>
      <c r="AK239" s="231">
        <f t="shared" si="59"/>
        <v>0</v>
      </c>
      <c r="AL239" s="231">
        <f t="shared" si="59"/>
        <v>0</v>
      </c>
      <c r="AM239" s="231">
        <f t="shared" si="59"/>
        <v>0</v>
      </c>
      <c r="AN239" s="231">
        <f t="shared" si="59"/>
        <v>0</v>
      </c>
      <c r="AO239" s="231">
        <f t="shared" si="59"/>
        <v>0</v>
      </c>
      <c r="AP239" s="231">
        <f t="shared" si="59"/>
        <v>0</v>
      </c>
      <c r="AQ239" s="231">
        <f t="shared" si="59"/>
        <v>0</v>
      </c>
      <c r="AR239" s="231">
        <f t="shared" si="59"/>
        <v>0</v>
      </c>
      <c r="AS239" s="231">
        <f t="shared" si="59"/>
        <v>0</v>
      </c>
      <c r="AT239" s="231">
        <f t="shared" si="59"/>
        <v>0</v>
      </c>
      <c r="AU239" s="231">
        <f t="shared" si="59"/>
        <v>0</v>
      </c>
    </row>
    <row r="240" spans="2:47" ht="12.75" hidden="1">
      <c r="B240" s="195" t="s">
        <v>570</v>
      </c>
      <c r="C240" s="206" t="s">
        <v>1556</v>
      </c>
      <c r="D240" s="193">
        <v>0.555</v>
      </c>
      <c r="E240" s="158"/>
      <c r="F240" s="159"/>
      <c r="G240" s="155">
        <v>0.555</v>
      </c>
      <c r="H240" s="91">
        <v>0.455</v>
      </c>
      <c r="I240" s="13">
        <v>0</v>
      </c>
      <c r="J240" s="13">
        <v>0</v>
      </c>
      <c r="K240" s="13">
        <v>0</v>
      </c>
      <c r="L240" s="13">
        <v>0</v>
      </c>
      <c r="M240" s="13">
        <v>0.006571428571428569</v>
      </c>
      <c r="N240" s="13">
        <v>0.006571428571428569</v>
      </c>
      <c r="O240" s="13">
        <v>0.006571428571428569</v>
      </c>
      <c r="P240" s="13">
        <v>0.006571428571428569</v>
      </c>
      <c r="Q240" s="13">
        <v>0.006571428571428569</v>
      </c>
      <c r="R240" s="13">
        <v>0.006571428571428569</v>
      </c>
      <c r="S240" s="13">
        <v>0.006571428571428569</v>
      </c>
      <c r="T240" s="5">
        <f aca="true" t="shared" si="60" ref="T240:T257">SUM(H240:N240)</f>
        <v>0.46814285714285714</v>
      </c>
      <c r="U240" s="53"/>
      <c r="V240" s="36"/>
      <c r="W240" s="36"/>
      <c r="X240" s="36"/>
      <c r="Y240" s="36"/>
      <c r="Z240" s="36"/>
      <c r="AA240" s="36"/>
      <c r="AB240" s="37"/>
      <c r="AC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</row>
    <row r="241" spans="2:47" ht="12.75" hidden="1">
      <c r="B241" s="195" t="s">
        <v>656</v>
      </c>
      <c r="C241" s="206" t="s">
        <v>1198</v>
      </c>
      <c r="D241" s="193">
        <v>0.004</v>
      </c>
      <c r="E241" s="158"/>
      <c r="F241" s="159"/>
      <c r="G241" s="155"/>
      <c r="H241" s="91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0.0005714285714285715</v>
      </c>
      <c r="N241" s="13">
        <v>0.0005714285714285715</v>
      </c>
      <c r="O241" s="13">
        <v>0.0005714285714285715</v>
      </c>
      <c r="P241" s="13">
        <v>0.0005714285714285715</v>
      </c>
      <c r="Q241" s="13">
        <v>0.0005714285714285715</v>
      </c>
      <c r="R241" s="13">
        <v>0.0005714285714285715</v>
      </c>
      <c r="S241" s="13">
        <v>0.0005714285714285715</v>
      </c>
      <c r="T241" s="5">
        <f t="shared" si="60"/>
        <v>0.001142857142857143</v>
      </c>
      <c r="U241" s="53"/>
      <c r="V241" s="36"/>
      <c r="W241" s="36"/>
      <c r="X241" s="36"/>
      <c r="Y241" s="36"/>
      <c r="Z241" s="36"/>
      <c r="AA241" s="36"/>
      <c r="AB241" s="37"/>
      <c r="AC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</row>
    <row r="242" spans="2:47" ht="12.75" hidden="1">
      <c r="B242" s="195" t="s">
        <v>657</v>
      </c>
      <c r="C242" s="206"/>
      <c r="D242" s="193">
        <v>0</v>
      </c>
      <c r="E242" s="158"/>
      <c r="F242" s="159"/>
      <c r="G242" s="155"/>
      <c r="H242" s="91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5">
        <f t="shared" si="60"/>
        <v>0</v>
      </c>
      <c r="U242" s="53"/>
      <c r="V242" s="36"/>
      <c r="W242" s="36"/>
      <c r="X242" s="36"/>
      <c r="Y242" s="36"/>
      <c r="Z242" s="36"/>
      <c r="AA242" s="36"/>
      <c r="AB242" s="37"/>
      <c r="AC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</row>
    <row r="243" spans="2:47" ht="12.75" hidden="1">
      <c r="B243" s="195" t="s">
        <v>658</v>
      </c>
      <c r="C243" s="206" t="s">
        <v>1199</v>
      </c>
      <c r="D243" s="193">
        <v>0</v>
      </c>
      <c r="E243" s="158"/>
      <c r="F243" s="159"/>
      <c r="G243" s="155"/>
      <c r="H243" s="91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5">
        <f t="shared" si="60"/>
        <v>0</v>
      </c>
      <c r="U243" s="53"/>
      <c r="V243" s="36"/>
      <c r="W243" s="36"/>
      <c r="X243" s="36"/>
      <c r="Y243" s="36"/>
      <c r="Z243" s="36"/>
      <c r="AA243" s="36"/>
      <c r="AB243" s="37"/>
      <c r="AC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</row>
    <row r="244" spans="2:47" ht="12.75" hidden="1">
      <c r="B244" s="195" t="s">
        <v>659</v>
      </c>
      <c r="C244" s="206" t="s">
        <v>660</v>
      </c>
      <c r="D244" s="193">
        <v>0.032</v>
      </c>
      <c r="E244" s="158"/>
      <c r="F244" s="159"/>
      <c r="G244" s="155">
        <v>0.031</v>
      </c>
      <c r="H244" s="91">
        <v>0.031</v>
      </c>
      <c r="I244" s="13">
        <v>0</v>
      </c>
      <c r="J244" s="13">
        <v>0</v>
      </c>
      <c r="K244" s="13">
        <v>0</v>
      </c>
      <c r="L244" s="13">
        <v>0</v>
      </c>
      <c r="M244" s="13">
        <v>0.001571428571428572</v>
      </c>
      <c r="N244" s="13">
        <v>0.001571428571428572</v>
      </c>
      <c r="O244" s="13">
        <v>0.001571428571428572</v>
      </c>
      <c r="P244" s="13">
        <v>0.001571428571428572</v>
      </c>
      <c r="Q244" s="13">
        <v>0.001571428571428572</v>
      </c>
      <c r="R244" s="13">
        <v>0.001571428571428572</v>
      </c>
      <c r="S244" s="13">
        <v>0.001571428571428572</v>
      </c>
      <c r="T244" s="5">
        <f t="shared" si="60"/>
        <v>0.03414285714285714</v>
      </c>
      <c r="U244" s="53"/>
      <c r="V244" s="36"/>
      <c r="W244" s="36"/>
      <c r="X244" s="36"/>
      <c r="Y244" s="36"/>
      <c r="Z244" s="36"/>
      <c r="AA244" s="36"/>
      <c r="AB244" s="37"/>
      <c r="AC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</row>
    <row r="245" spans="2:47" ht="12.75" hidden="1">
      <c r="B245" s="195" t="s">
        <v>661</v>
      </c>
      <c r="C245" s="206" t="s">
        <v>662</v>
      </c>
      <c r="D245" s="193">
        <v>0.01</v>
      </c>
      <c r="E245" s="158"/>
      <c r="F245" s="159"/>
      <c r="G245" s="155"/>
      <c r="H245" s="91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0.0014285714285714286</v>
      </c>
      <c r="N245" s="13">
        <v>0.0014285714285714286</v>
      </c>
      <c r="O245" s="13">
        <v>0.0014285714285714286</v>
      </c>
      <c r="P245" s="13">
        <v>0.0014285714285714286</v>
      </c>
      <c r="Q245" s="13">
        <v>0.0014285714285714286</v>
      </c>
      <c r="R245" s="13">
        <v>0.0014285714285714286</v>
      </c>
      <c r="S245" s="13">
        <v>0.0014285714285714286</v>
      </c>
      <c r="T245" s="5">
        <f t="shared" si="60"/>
        <v>0.002857142857142857</v>
      </c>
      <c r="U245" s="53"/>
      <c r="V245" s="36"/>
      <c r="W245" s="36"/>
      <c r="X245" s="36"/>
      <c r="Y245" s="36"/>
      <c r="Z245" s="36"/>
      <c r="AA245" s="36"/>
      <c r="AB245" s="37"/>
      <c r="AC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</row>
    <row r="246" spans="2:47" ht="12.75" hidden="1">
      <c r="B246" s="195" t="s">
        <v>663</v>
      </c>
      <c r="C246" s="206" t="s">
        <v>1200</v>
      </c>
      <c r="D246" s="193">
        <v>0.001</v>
      </c>
      <c r="E246" s="158"/>
      <c r="F246" s="159"/>
      <c r="G246" s="155"/>
      <c r="H246" s="91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0.00014285714285714287</v>
      </c>
      <c r="N246" s="13">
        <v>0.00014285714285714287</v>
      </c>
      <c r="O246" s="13">
        <v>0.00014285714285714287</v>
      </c>
      <c r="P246" s="13">
        <v>0.00014285714285714287</v>
      </c>
      <c r="Q246" s="13">
        <v>0.00014285714285714287</v>
      </c>
      <c r="R246" s="13">
        <v>0.00014285714285714287</v>
      </c>
      <c r="S246" s="13">
        <v>0.00014285714285714287</v>
      </c>
      <c r="T246" s="5">
        <f t="shared" si="60"/>
        <v>0.00028571428571428574</v>
      </c>
      <c r="U246" s="53"/>
      <c r="V246" s="36"/>
      <c r="W246" s="36"/>
      <c r="X246" s="36"/>
      <c r="Y246" s="36"/>
      <c r="Z246" s="36"/>
      <c r="AA246" s="36"/>
      <c r="AB246" s="37"/>
      <c r="AC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</row>
    <row r="247" spans="2:47" ht="12.75" hidden="1">
      <c r="B247" s="195" t="s">
        <v>664</v>
      </c>
      <c r="C247" s="206" t="s">
        <v>665</v>
      </c>
      <c r="D247" s="193">
        <v>0.123</v>
      </c>
      <c r="E247" s="158"/>
      <c r="F247" s="159"/>
      <c r="G247" s="155">
        <v>0.112</v>
      </c>
      <c r="H247" s="91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0.019142857142857145</v>
      </c>
      <c r="N247" s="13">
        <v>0.019142857142857145</v>
      </c>
      <c r="O247" s="13">
        <v>0.019142857142857145</v>
      </c>
      <c r="P247" s="13">
        <v>0.019142857142857145</v>
      </c>
      <c r="Q247" s="13">
        <v>0.019142857142857145</v>
      </c>
      <c r="R247" s="13">
        <v>0.019142857142857145</v>
      </c>
      <c r="S247" s="13">
        <v>0.019142857142857145</v>
      </c>
      <c r="T247" s="5">
        <f t="shared" si="60"/>
        <v>0.03828571428571429</v>
      </c>
      <c r="U247" s="53"/>
      <c r="V247" s="36"/>
      <c r="W247" s="36"/>
      <c r="X247" s="36"/>
      <c r="Y247" s="36"/>
      <c r="Z247" s="36"/>
      <c r="AA247" s="36"/>
      <c r="AB247" s="37"/>
      <c r="AC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</row>
    <row r="248" spans="2:47" ht="12.75" hidden="1">
      <c r="B248" s="195" t="s">
        <v>666</v>
      </c>
      <c r="C248" s="206" t="s">
        <v>667</v>
      </c>
      <c r="D248" s="193">
        <v>0</v>
      </c>
      <c r="E248" s="158"/>
      <c r="F248" s="159"/>
      <c r="G248" s="155"/>
      <c r="H248" s="91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0.0008571428571428572</v>
      </c>
      <c r="N248" s="13">
        <v>0.0008571428571428572</v>
      </c>
      <c r="O248" s="13">
        <v>0.0008571428571428572</v>
      </c>
      <c r="P248" s="13">
        <v>0.0008571428571428572</v>
      </c>
      <c r="Q248" s="13">
        <v>0.0008571428571428572</v>
      </c>
      <c r="R248" s="13">
        <v>0.0008571428571428572</v>
      </c>
      <c r="S248" s="13">
        <v>0.0008571428571428572</v>
      </c>
      <c r="T248" s="5">
        <f t="shared" si="60"/>
        <v>0.0017142857142857144</v>
      </c>
      <c r="U248" s="53"/>
      <c r="V248" s="36"/>
      <c r="W248" s="36"/>
      <c r="X248" s="36"/>
      <c r="Y248" s="36"/>
      <c r="Z248" s="36"/>
      <c r="AA248" s="36"/>
      <c r="AB248" s="37"/>
      <c r="AC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</row>
    <row r="249" spans="2:47" ht="12.75" hidden="1">
      <c r="B249" s="195" t="s">
        <v>668</v>
      </c>
      <c r="C249" s="206" t="s">
        <v>1211</v>
      </c>
      <c r="D249" s="193">
        <v>0.001</v>
      </c>
      <c r="E249" s="158"/>
      <c r="F249" s="159"/>
      <c r="G249" s="155"/>
      <c r="H249" s="91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0.00014285714285714287</v>
      </c>
      <c r="N249" s="13">
        <v>0.00014285714285714287</v>
      </c>
      <c r="O249" s="13">
        <v>0.00014285714285714287</v>
      </c>
      <c r="P249" s="13">
        <v>0.00014285714285714287</v>
      </c>
      <c r="Q249" s="13">
        <v>0.00014285714285714287</v>
      </c>
      <c r="R249" s="13">
        <v>0.00014285714285714287</v>
      </c>
      <c r="S249" s="13">
        <v>0.00014285714285714287</v>
      </c>
      <c r="T249" s="5">
        <f t="shared" si="60"/>
        <v>0.00028571428571428574</v>
      </c>
      <c r="U249" s="53"/>
      <c r="V249" s="36"/>
      <c r="W249" s="36"/>
      <c r="X249" s="36"/>
      <c r="Y249" s="36"/>
      <c r="Z249" s="36"/>
      <c r="AA249" s="36"/>
      <c r="AB249" s="37"/>
      <c r="AC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</row>
    <row r="250" spans="2:47" ht="12.75" hidden="1">
      <c r="B250" s="195" t="s">
        <v>669</v>
      </c>
      <c r="C250" s="206" t="s">
        <v>1212</v>
      </c>
      <c r="D250" s="193">
        <v>0.003</v>
      </c>
      <c r="E250" s="158"/>
      <c r="F250" s="159"/>
      <c r="G250" s="155"/>
      <c r="H250" s="91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0.0004285714285714286</v>
      </c>
      <c r="N250" s="13">
        <v>0.0004285714285714286</v>
      </c>
      <c r="O250" s="13">
        <v>0.0004285714285714286</v>
      </c>
      <c r="P250" s="13">
        <v>0.0004285714285714286</v>
      </c>
      <c r="Q250" s="13">
        <v>0.0004285714285714286</v>
      </c>
      <c r="R250" s="13">
        <v>0.0004285714285714286</v>
      </c>
      <c r="S250" s="13">
        <v>0.0004285714285714286</v>
      </c>
      <c r="T250" s="5">
        <f t="shared" si="60"/>
        <v>0.0008571428571428572</v>
      </c>
      <c r="U250" s="53"/>
      <c r="V250" s="36"/>
      <c r="W250" s="36"/>
      <c r="X250" s="36"/>
      <c r="Y250" s="36"/>
      <c r="Z250" s="36"/>
      <c r="AA250" s="36"/>
      <c r="AB250" s="37"/>
      <c r="AC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</row>
    <row r="251" spans="2:47" ht="12.75" hidden="1">
      <c r="B251" s="195" t="s">
        <v>670</v>
      </c>
      <c r="C251" s="206" t="s">
        <v>1213</v>
      </c>
      <c r="D251" s="193">
        <v>0.001</v>
      </c>
      <c r="E251" s="158"/>
      <c r="F251" s="159"/>
      <c r="G251" s="155"/>
      <c r="H251" s="91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0.00014285714285714287</v>
      </c>
      <c r="N251" s="13">
        <v>0.00014285714285714287</v>
      </c>
      <c r="O251" s="13">
        <v>0.00014285714285714287</v>
      </c>
      <c r="P251" s="13">
        <v>0.00014285714285714287</v>
      </c>
      <c r="Q251" s="13">
        <v>0.00014285714285714287</v>
      </c>
      <c r="R251" s="13">
        <v>0.00014285714285714287</v>
      </c>
      <c r="S251" s="13">
        <v>0.00014285714285714287</v>
      </c>
      <c r="T251" s="5">
        <f t="shared" si="60"/>
        <v>0.00028571428571428574</v>
      </c>
      <c r="U251" s="53"/>
      <c r="V251" s="36"/>
      <c r="W251" s="36"/>
      <c r="X251" s="36"/>
      <c r="Y251" s="36"/>
      <c r="Z251" s="36"/>
      <c r="AA251" s="36"/>
      <c r="AB251" s="37"/>
      <c r="AC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</row>
    <row r="252" spans="2:47" ht="12.75" hidden="1">
      <c r="B252" s="196" t="s">
        <v>671</v>
      </c>
      <c r="C252" s="206" t="s">
        <v>1214</v>
      </c>
      <c r="D252" s="193">
        <v>0.006</v>
      </c>
      <c r="E252" s="158"/>
      <c r="F252" s="159"/>
      <c r="G252" s="155">
        <v>0.005</v>
      </c>
      <c r="H252" s="91">
        <v>0.005</v>
      </c>
      <c r="I252" s="13">
        <v>0</v>
      </c>
      <c r="J252" s="13">
        <v>0</v>
      </c>
      <c r="K252" s="13">
        <v>0</v>
      </c>
      <c r="L252" s="13">
        <v>0</v>
      </c>
      <c r="M252" s="13">
        <v>0.00014285714285714287</v>
      </c>
      <c r="N252" s="13">
        <v>0.00014285714285714287</v>
      </c>
      <c r="O252" s="13">
        <v>0.00014285714285714287</v>
      </c>
      <c r="P252" s="13">
        <v>0.00014285714285714287</v>
      </c>
      <c r="Q252" s="13">
        <v>0.00014285714285714287</v>
      </c>
      <c r="R252" s="13">
        <v>0.00014285714285714287</v>
      </c>
      <c r="S252" s="13">
        <v>0.00014285714285714287</v>
      </c>
      <c r="T252" s="5">
        <f t="shared" si="60"/>
        <v>0.005285714285714285</v>
      </c>
      <c r="U252" s="53"/>
      <c r="V252" s="36"/>
      <c r="W252" s="36"/>
      <c r="X252" s="36"/>
      <c r="Y252" s="36"/>
      <c r="Z252" s="36"/>
      <c r="AA252" s="36"/>
      <c r="AB252" s="37"/>
      <c r="AC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</row>
    <row r="253" spans="2:47" ht="12.75" hidden="1">
      <c r="B253" s="196" t="s">
        <v>672</v>
      </c>
      <c r="C253" s="206" t="s">
        <v>1215</v>
      </c>
      <c r="D253" s="193">
        <v>0.007</v>
      </c>
      <c r="E253" s="158"/>
      <c r="F253" s="159"/>
      <c r="G253" s="155">
        <v>0.006</v>
      </c>
      <c r="H253" s="91">
        <v>0.006</v>
      </c>
      <c r="I253" s="13">
        <v>0</v>
      </c>
      <c r="J253" s="13">
        <v>0</v>
      </c>
      <c r="K253" s="13">
        <v>0</v>
      </c>
      <c r="L253" s="13">
        <v>0</v>
      </c>
      <c r="M253" s="13">
        <v>0.00014285714285714287</v>
      </c>
      <c r="N253" s="13">
        <v>0.00014285714285714287</v>
      </c>
      <c r="O253" s="13">
        <v>0.00014285714285714287</v>
      </c>
      <c r="P253" s="13">
        <v>0.00014285714285714287</v>
      </c>
      <c r="Q253" s="13">
        <v>0.00014285714285714287</v>
      </c>
      <c r="R253" s="13">
        <v>0.00014285714285714287</v>
      </c>
      <c r="S253" s="13">
        <v>0.00014285714285714287</v>
      </c>
      <c r="T253" s="5">
        <f t="shared" si="60"/>
        <v>0.006285714285714285</v>
      </c>
      <c r="U253" s="53"/>
      <c r="V253" s="36"/>
      <c r="W253" s="36"/>
      <c r="X253" s="36"/>
      <c r="Y253" s="36"/>
      <c r="Z253" s="36"/>
      <c r="AA253" s="36"/>
      <c r="AB253" s="37"/>
      <c r="AC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</row>
    <row r="254" spans="2:47" ht="12.75" hidden="1">
      <c r="B254" s="196" t="s">
        <v>673</v>
      </c>
      <c r="C254" s="206" t="s">
        <v>674</v>
      </c>
      <c r="D254" s="193">
        <v>0.187</v>
      </c>
      <c r="E254" s="158"/>
      <c r="F254" s="159"/>
      <c r="G254" s="155">
        <v>0.13</v>
      </c>
      <c r="H254" s="91">
        <v>0.13</v>
      </c>
      <c r="I254" s="13">
        <v>0</v>
      </c>
      <c r="J254" s="13">
        <v>0</v>
      </c>
      <c r="K254" s="13">
        <v>0</v>
      </c>
      <c r="L254" s="13">
        <v>0</v>
      </c>
      <c r="M254" s="13">
        <v>0.008142857142857143</v>
      </c>
      <c r="N254" s="13">
        <v>0.008142857142857143</v>
      </c>
      <c r="O254" s="13">
        <v>0.008142857142857143</v>
      </c>
      <c r="P254" s="13">
        <v>0.008142857142857143</v>
      </c>
      <c r="Q254" s="13">
        <v>0.008142857142857143</v>
      </c>
      <c r="R254" s="13">
        <v>0.008142857142857143</v>
      </c>
      <c r="S254" s="13">
        <v>0.008142857142857143</v>
      </c>
      <c r="T254" s="5">
        <f t="shared" si="60"/>
        <v>0.1462857142857143</v>
      </c>
      <c r="U254" s="53"/>
      <c r="V254" s="36"/>
      <c r="W254" s="36"/>
      <c r="X254" s="36"/>
      <c r="Y254" s="36"/>
      <c r="Z254" s="36"/>
      <c r="AA254" s="36"/>
      <c r="AB254" s="37"/>
      <c r="AC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</row>
    <row r="255" spans="2:47" ht="12.75" hidden="1">
      <c r="B255" s="196" t="s">
        <v>675</v>
      </c>
      <c r="C255" s="206" t="s">
        <v>1216</v>
      </c>
      <c r="D255" s="193">
        <v>0.152</v>
      </c>
      <c r="E255" s="158"/>
      <c r="F255" s="159"/>
      <c r="G255" s="155">
        <v>0.09</v>
      </c>
      <c r="H255" s="91">
        <v>0.09</v>
      </c>
      <c r="I255" s="13">
        <v>0</v>
      </c>
      <c r="J255" s="13">
        <v>0</v>
      </c>
      <c r="K255" s="13">
        <v>0</v>
      </c>
      <c r="L255" s="13">
        <v>0</v>
      </c>
      <c r="M255" s="13">
        <v>0.008857142857142857</v>
      </c>
      <c r="N255" s="13">
        <v>0.008857142857142857</v>
      </c>
      <c r="O255" s="13">
        <v>0.008857142857142857</v>
      </c>
      <c r="P255" s="13">
        <v>0.008857142857142857</v>
      </c>
      <c r="Q255" s="13">
        <v>0.008857142857142857</v>
      </c>
      <c r="R255" s="13">
        <v>0.008857142857142857</v>
      </c>
      <c r="S255" s="13">
        <v>0.008857142857142857</v>
      </c>
      <c r="T255" s="5">
        <f t="shared" si="60"/>
        <v>0.1077142857142857</v>
      </c>
      <c r="U255" s="53"/>
      <c r="V255" s="36"/>
      <c r="W255" s="36"/>
      <c r="X255" s="36"/>
      <c r="Y255" s="36"/>
      <c r="Z255" s="36"/>
      <c r="AA255" s="36"/>
      <c r="AB255" s="37"/>
      <c r="AC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</row>
    <row r="256" spans="2:47" ht="12.75" hidden="1">
      <c r="B256" s="196" t="s">
        <v>676</v>
      </c>
      <c r="C256" s="206" t="s">
        <v>1217</v>
      </c>
      <c r="D256" s="193">
        <v>0.301</v>
      </c>
      <c r="E256" s="158"/>
      <c r="F256" s="159"/>
      <c r="G256" s="155">
        <v>0.261</v>
      </c>
      <c r="H256" s="91">
        <v>0.261</v>
      </c>
      <c r="I256" s="13">
        <v>0</v>
      </c>
      <c r="J256" s="13">
        <v>0</v>
      </c>
      <c r="K256" s="13">
        <v>0</v>
      </c>
      <c r="L256" s="13">
        <v>0</v>
      </c>
      <c r="M256" s="13">
        <v>0.005714285714285712</v>
      </c>
      <c r="N256" s="13">
        <v>0.005714285714285712</v>
      </c>
      <c r="O256" s="13">
        <v>0.005714285714285712</v>
      </c>
      <c r="P256" s="13">
        <v>0.005714285714285712</v>
      </c>
      <c r="Q256" s="13">
        <v>0.005714285714285712</v>
      </c>
      <c r="R256" s="13">
        <v>0.005714285714285712</v>
      </c>
      <c r="S256" s="13">
        <v>0.005714285714285712</v>
      </c>
      <c r="T256" s="5">
        <f t="shared" si="60"/>
        <v>0.27242857142857146</v>
      </c>
      <c r="U256" s="53"/>
      <c r="V256" s="36"/>
      <c r="W256" s="36"/>
      <c r="X256" s="36"/>
      <c r="Y256" s="36"/>
      <c r="Z256" s="36"/>
      <c r="AA256" s="36"/>
      <c r="AB256" s="37"/>
      <c r="AC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</row>
    <row r="257" spans="2:47" ht="12.75" hidden="1">
      <c r="B257" s="196" t="s">
        <v>677</v>
      </c>
      <c r="C257" s="206" t="s">
        <v>1218</v>
      </c>
      <c r="D257" s="193">
        <v>0.031</v>
      </c>
      <c r="E257" s="158"/>
      <c r="F257" s="159"/>
      <c r="G257" s="155">
        <v>0.014</v>
      </c>
      <c r="H257" s="91">
        <v>0.014</v>
      </c>
      <c r="I257" s="13">
        <v>0</v>
      </c>
      <c r="J257" s="13">
        <v>0</v>
      </c>
      <c r="K257" s="13">
        <v>0</v>
      </c>
      <c r="L257" s="13">
        <v>0</v>
      </c>
      <c r="M257" s="13">
        <v>0.002428571428571429</v>
      </c>
      <c r="N257" s="13">
        <v>0.002428571428571429</v>
      </c>
      <c r="O257" s="13">
        <v>0.002428571428571429</v>
      </c>
      <c r="P257" s="13">
        <v>0.002428571428571429</v>
      </c>
      <c r="Q257" s="13">
        <v>0.002428571428571429</v>
      </c>
      <c r="R257" s="13">
        <v>0.002428571428571429</v>
      </c>
      <c r="S257" s="13">
        <v>0.002428571428571429</v>
      </c>
      <c r="T257" s="5">
        <f t="shared" si="60"/>
        <v>0.018857142857142857</v>
      </c>
      <c r="U257" s="53"/>
      <c r="V257" s="36"/>
      <c r="W257" s="36"/>
      <c r="X257" s="36"/>
      <c r="Y257" s="36"/>
      <c r="Z257" s="36"/>
      <c r="AA257" s="36"/>
      <c r="AB257" s="37"/>
      <c r="AC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</row>
    <row r="258" spans="2:47" ht="12.75" hidden="1">
      <c r="B258" s="196"/>
      <c r="C258" s="206" t="s">
        <v>1331</v>
      </c>
      <c r="D258" s="193"/>
      <c r="E258" s="158"/>
      <c r="F258" s="159"/>
      <c r="G258" s="155"/>
      <c r="H258" s="91">
        <v>0.003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5"/>
      <c r="U258" s="53"/>
      <c r="V258" s="36"/>
      <c r="W258" s="36"/>
      <c r="X258" s="36"/>
      <c r="Y258" s="36"/>
      <c r="Z258" s="36"/>
      <c r="AA258" s="36"/>
      <c r="AB258" s="37"/>
      <c r="AC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</row>
    <row r="259" spans="3:4" ht="12.75" hidden="1">
      <c r="C259" s="6" t="s">
        <v>1152</v>
      </c>
      <c r="D259" s="6">
        <v>0.001</v>
      </c>
    </row>
    <row r="260" spans="2:47" ht="12.75" hidden="1">
      <c r="B260" s="195" t="s">
        <v>678</v>
      </c>
      <c r="C260" s="206" t="s">
        <v>1219</v>
      </c>
      <c r="D260" s="193">
        <v>0.008</v>
      </c>
      <c r="E260" s="158"/>
      <c r="F260" s="159"/>
      <c r="G260" s="155">
        <v>0.005</v>
      </c>
      <c r="H260" s="91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0.001142857142857143</v>
      </c>
      <c r="N260" s="13">
        <v>0.001142857142857143</v>
      </c>
      <c r="O260" s="13">
        <v>0.001142857142857143</v>
      </c>
      <c r="P260" s="13">
        <v>0.001142857142857143</v>
      </c>
      <c r="Q260" s="13">
        <v>0.001142857142857143</v>
      </c>
      <c r="R260" s="13">
        <v>0.001142857142857143</v>
      </c>
      <c r="S260" s="13">
        <v>0.001142857142857143</v>
      </c>
      <c r="T260" s="5">
        <f aca="true" t="shared" si="61" ref="T260:T265">SUM(H260:N260)</f>
        <v>0.002285714285714286</v>
      </c>
      <c r="U260" s="53"/>
      <c r="V260" s="36"/>
      <c r="W260" s="36"/>
      <c r="X260" s="36"/>
      <c r="Y260" s="36"/>
      <c r="Z260" s="36"/>
      <c r="AA260" s="36"/>
      <c r="AB260" s="37"/>
      <c r="AC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</row>
    <row r="261" spans="2:47" ht="12.75" hidden="1">
      <c r="B261" s="195" t="s">
        <v>679</v>
      </c>
      <c r="C261" s="206" t="s">
        <v>1220</v>
      </c>
      <c r="D261" s="193">
        <v>0.004</v>
      </c>
      <c r="E261" s="158"/>
      <c r="F261" s="159"/>
      <c r="G261" s="155">
        <v>0.004</v>
      </c>
      <c r="H261" s="91">
        <v>0.004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5">
        <f t="shared" si="61"/>
        <v>0.004</v>
      </c>
      <c r="U261" s="53"/>
      <c r="V261" s="36"/>
      <c r="W261" s="36"/>
      <c r="X261" s="36"/>
      <c r="Y261" s="36"/>
      <c r="Z261" s="36"/>
      <c r="AA261" s="36"/>
      <c r="AB261" s="37"/>
      <c r="AC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</row>
    <row r="262" spans="2:47" ht="12.75" hidden="1">
      <c r="B262" s="195" t="s">
        <v>680</v>
      </c>
      <c r="C262" s="206" t="s">
        <v>1221</v>
      </c>
      <c r="D262" s="193">
        <v>0.008</v>
      </c>
      <c r="E262" s="158"/>
      <c r="F262" s="159"/>
      <c r="G262" s="155"/>
      <c r="H262" s="91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0.004714285714285714</v>
      </c>
      <c r="N262" s="13">
        <v>0.004714285714285714</v>
      </c>
      <c r="O262" s="13">
        <v>0.004714285714285714</v>
      </c>
      <c r="P262" s="13">
        <v>0.004714285714285714</v>
      </c>
      <c r="Q262" s="13">
        <v>0.004714285714285714</v>
      </c>
      <c r="R262" s="13">
        <v>0.004714285714285714</v>
      </c>
      <c r="S262" s="13">
        <v>0.004714285714285714</v>
      </c>
      <c r="T262" s="5">
        <f t="shared" si="61"/>
        <v>0.009428571428571429</v>
      </c>
      <c r="U262" s="53"/>
      <c r="V262" s="36"/>
      <c r="W262" s="36"/>
      <c r="X262" s="36"/>
      <c r="Y262" s="36"/>
      <c r="Z262" s="36"/>
      <c r="AA262" s="36"/>
      <c r="AB262" s="37"/>
      <c r="AC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</row>
    <row r="263" spans="2:47" ht="12.75" hidden="1">
      <c r="B263" s="196" t="s">
        <v>681</v>
      </c>
      <c r="C263" s="206" t="s">
        <v>682</v>
      </c>
      <c r="D263" s="193">
        <v>0.001</v>
      </c>
      <c r="E263" s="158"/>
      <c r="F263" s="159"/>
      <c r="G263" s="155"/>
      <c r="H263" s="91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0.00014285714285714287</v>
      </c>
      <c r="N263" s="13">
        <v>0.00014285714285714287</v>
      </c>
      <c r="O263" s="13">
        <v>0.00014285714285714287</v>
      </c>
      <c r="P263" s="13">
        <v>0.00014285714285714287</v>
      </c>
      <c r="Q263" s="13">
        <v>0.00014285714285714287</v>
      </c>
      <c r="R263" s="13">
        <v>0.00014285714285714287</v>
      </c>
      <c r="S263" s="13">
        <v>0.00014285714285714287</v>
      </c>
      <c r="T263" s="5">
        <f t="shared" si="61"/>
        <v>0.00028571428571428574</v>
      </c>
      <c r="U263" s="53"/>
      <c r="V263" s="36"/>
      <c r="W263" s="36"/>
      <c r="X263" s="36"/>
      <c r="Y263" s="36"/>
      <c r="Z263" s="36"/>
      <c r="AA263" s="36"/>
      <c r="AB263" s="37"/>
      <c r="AC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</row>
    <row r="264" spans="2:47" ht="12.75" hidden="1">
      <c r="B264" s="207" t="s">
        <v>683</v>
      </c>
      <c r="C264" s="206" t="s">
        <v>1222</v>
      </c>
      <c r="D264" s="193">
        <v>0.01</v>
      </c>
      <c r="E264" s="158"/>
      <c r="F264" s="159"/>
      <c r="G264" s="155">
        <v>0.003</v>
      </c>
      <c r="H264" s="91">
        <v>0.002</v>
      </c>
      <c r="I264" s="13">
        <v>0</v>
      </c>
      <c r="J264" s="13">
        <v>0</v>
      </c>
      <c r="K264" s="13">
        <v>0</v>
      </c>
      <c r="L264" s="13">
        <v>0</v>
      </c>
      <c r="M264" s="13">
        <v>0.001142857142857143</v>
      </c>
      <c r="N264" s="13">
        <v>0.001142857142857143</v>
      </c>
      <c r="O264" s="13">
        <v>0.001142857142857143</v>
      </c>
      <c r="P264" s="13">
        <v>0.001142857142857143</v>
      </c>
      <c r="Q264" s="13">
        <v>0.001142857142857143</v>
      </c>
      <c r="R264" s="13">
        <v>0.001142857142857143</v>
      </c>
      <c r="S264" s="13">
        <v>0.001142857142857143</v>
      </c>
      <c r="T264" s="5">
        <f t="shared" si="61"/>
        <v>0.004285714285714286</v>
      </c>
      <c r="U264" s="53"/>
      <c r="V264" s="36"/>
      <c r="W264" s="36"/>
      <c r="X264" s="36"/>
      <c r="Y264" s="36"/>
      <c r="Z264" s="36"/>
      <c r="AA264" s="36"/>
      <c r="AB264" s="37"/>
      <c r="AC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</row>
    <row r="265" spans="2:47" ht="12.75" hidden="1">
      <c r="B265" s="208" t="s">
        <v>684</v>
      </c>
      <c r="C265" s="206" t="s">
        <v>1223</v>
      </c>
      <c r="D265" s="223">
        <v>0.03</v>
      </c>
      <c r="E265" s="158"/>
      <c r="F265" s="159"/>
      <c r="G265" s="155">
        <v>0.02</v>
      </c>
      <c r="H265" s="91">
        <v>0.02</v>
      </c>
      <c r="I265" s="13">
        <v>0</v>
      </c>
      <c r="J265" s="13">
        <v>0</v>
      </c>
      <c r="K265" s="13">
        <v>0</v>
      </c>
      <c r="L265" s="13">
        <v>0</v>
      </c>
      <c r="M265" s="13">
        <v>0.0014285714285714284</v>
      </c>
      <c r="N265" s="13">
        <v>0.0014285714285714284</v>
      </c>
      <c r="O265" s="13">
        <v>0.0014285714285714284</v>
      </c>
      <c r="P265" s="13">
        <v>0.0014285714285714284</v>
      </c>
      <c r="Q265" s="13">
        <v>0.0014285714285714284</v>
      </c>
      <c r="R265" s="13">
        <v>0.0014285714285714284</v>
      </c>
      <c r="S265" s="13">
        <v>0.0014285714285714284</v>
      </c>
      <c r="T265" s="5">
        <f t="shared" si="61"/>
        <v>0.022857142857142857</v>
      </c>
      <c r="U265" s="53"/>
      <c r="V265" s="36"/>
      <c r="W265" s="36"/>
      <c r="X265" s="36"/>
      <c r="Y265" s="36"/>
      <c r="Z265" s="36"/>
      <c r="AA265" s="36"/>
      <c r="AB265" s="37"/>
      <c r="AC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</row>
    <row r="266" spans="1:47" ht="12.75">
      <c r="A266" s="33" t="s">
        <v>1207</v>
      </c>
      <c r="B266" s="252" t="s">
        <v>1460</v>
      </c>
      <c r="C266" s="190" t="s">
        <v>685</v>
      </c>
      <c r="D266" s="26">
        <f>SUM(D267:D290)</f>
        <v>2.418999999999999</v>
      </c>
      <c r="E266" s="171"/>
      <c r="F266" s="159"/>
      <c r="G266" s="26">
        <f>SUM(G267:G290)</f>
        <v>1.1929999999999994</v>
      </c>
      <c r="H266" s="90">
        <f>SUM(H267:H290)</f>
        <v>0.7850000000000001</v>
      </c>
      <c r="I266" s="33">
        <f>SUM(I267:I290)</f>
        <v>0</v>
      </c>
      <c r="J266" s="33">
        <f>SUM(J267:J290)</f>
        <v>0</v>
      </c>
      <c r="K266" s="33">
        <f aca="true" t="shared" si="62" ref="K266:T266">SUM(K267:K290)</f>
        <v>0</v>
      </c>
      <c r="L266" s="33">
        <f t="shared" si="62"/>
        <v>0</v>
      </c>
      <c r="M266" s="33">
        <f t="shared" si="62"/>
        <v>0.22671428571428578</v>
      </c>
      <c r="N266" s="33">
        <f t="shared" si="62"/>
        <v>0.22671428571428578</v>
      </c>
      <c r="O266" s="33">
        <f t="shared" si="62"/>
        <v>0.22671428571428578</v>
      </c>
      <c r="P266" s="33">
        <f t="shared" si="62"/>
        <v>0.22671428571428578</v>
      </c>
      <c r="Q266" s="33">
        <f t="shared" si="62"/>
        <v>0.22671428571428578</v>
      </c>
      <c r="R266" s="33">
        <f t="shared" si="62"/>
        <v>0.22671428571428578</v>
      </c>
      <c r="S266" s="33">
        <f t="shared" si="62"/>
        <v>0.22671428571428578</v>
      </c>
      <c r="T266" s="26">
        <f t="shared" si="62"/>
        <v>1.2384285714285712</v>
      </c>
      <c r="U266" s="53"/>
      <c r="V266" s="37">
        <f aca="true" t="shared" si="63" ref="V266:AC266">SUM(V267:V290)</f>
        <v>0</v>
      </c>
      <c r="W266" s="37">
        <f t="shared" si="63"/>
        <v>0</v>
      </c>
      <c r="X266" s="37">
        <f t="shared" si="63"/>
        <v>0</v>
      </c>
      <c r="Y266" s="37">
        <f t="shared" si="63"/>
        <v>0</v>
      </c>
      <c r="Z266" s="37">
        <f t="shared" si="63"/>
        <v>0</v>
      </c>
      <c r="AA266" s="37">
        <f t="shared" si="63"/>
        <v>0</v>
      </c>
      <c r="AB266" s="37">
        <f t="shared" si="63"/>
        <v>0</v>
      </c>
      <c r="AC266" s="37">
        <f t="shared" si="63"/>
        <v>0</v>
      </c>
      <c r="AE266" s="37">
        <f aca="true" t="shared" si="64" ref="AE266:AU266">SUM(AE267:AE290)</f>
        <v>0</v>
      </c>
      <c r="AF266" s="37">
        <f t="shared" si="64"/>
        <v>0</v>
      </c>
      <c r="AG266" s="37">
        <f t="shared" si="64"/>
        <v>0</v>
      </c>
      <c r="AH266" s="37">
        <f t="shared" si="64"/>
        <v>0</v>
      </c>
      <c r="AI266" s="37">
        <f t="shared" si="64"/>
        <v>0</v>
      </c>
      <c r="AJ266" s="37">
        <f t="shared" si="64"/>
        <v>0</v>
      </c>
      <c r="AK266" s="37">
        <f t="shared" si="64"/>
        <v>0</v>
      </c>
      <c r="AL266" s="37">
        <f t="shared" si="64"/>
        <v>0</v>
      </c>
      <c r="AM266" s="37">
        <f t="shared" si="64"/>
        <v>0</v>
      </c>
      <c r="AN266" s="37">
        <f t="shared" si="64"/>
        <v>0</v>
      </c>
      <c r="AO266" s="37">
        <f t="shared" si="64"/>
        <v>0</v>
      </c>
      <c r="AP266" s="37">
        <f t="shared" si="64"/>
        <v>0</v>
      </c>
      <c r="AQ266" s="37">
        <f t="shared" si="64"/>
        <v>0</v>
      </c>
      <c r="AR266" s="37">
        <f t="shared" si="64"/>
        <v>0</v>
      </c>
      <c r="AS266" s="37">
        <f t="shared" si="64"/>
        <v>0</v>
      </c>
      <c r="AT266" s="37">
        <f t="shared" si="64"/>
        <v>0</v>
      </c>
      <c r="AU266" s="37">
        <f t="shared" si="64"/>
        <v>0</v>
      </c>
    </row>
    <row r="267" spans="2:47" ht="12.75" hidden="1">
      <c r="B267" s="125" t="s">
        <v>686</v>
      </c>
      <c r="C267" s="199" t="s">
        <v>687</v>
      </c>
      <c r="D267" s="26">
        <v>1.25</v>
      </c>
      <c r="E267" s="173"/>
      <c r="F267" s="159"/>
      <c r="G267" s="155">
        <v>0.777</v>
      </c>
      <c r="H267" s="91">
        <v>0.506</v>
      </c>
      <c r="I267" s="13">
        <v>0</v>
      </c>
      <c r="J267" s="13">
        <v>0</v>
      </c>
      <c r="K267" s="13">
        <v>0</v>
      </c>
      <c r="L267" s="13">
        <v>0</v>
      </c>
      <c r="M267" s="13">
        <v>0.10628571428571429</v>
      </c>
      <c r="N267" s="13">
        <v>0.10628571428571429</v>
      </c>
      <c r="O267" s="13">
        <v>0.10628571428571429</v>
      </c>
      <c r="P267" s="13">
        <v>0.10628571428571429</v>
      </c>
      <c r="Q267" s="13">
        <v>0.10628571428571429</v>
      </c>
      <c r="R267" s="13">
        <v>0.10628571428571429</v>
      </c>
      <c r="S267" s="13">
        <v>0.10628571428571429</v>
      </c>
      <c r="T267" s="5">
        <f aca="true" t="shared" si="65" ref="T267:T290">SUM(H267:N267)</f>
        <v>0.7185714285714286</v>
      </c>
      <c r="U267" s="53"/>
      <c r="V267" s="36"/>
      <c r="W267" s="36"/>
      <c r="X267" s="36"/>
      <c r="Y267" s="36"/>
      <c r="Z267" s="36"/>
      <c r="AA267" s="36"/>
      <c r="AB267" s="37"/>
      <c r="AC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</row>
    <row r="268" spans="2:47" ht="12.75" hidden="1">
      <c r="B268" s="125" t="s">
        <v>688</v>
      </c>
      <c r="C268" s="199" t="s">
        <v>692</v>
      </c>
      <c r="D268" s="26">
        <v>0</v>
      </c>
      <c r="E268" s="173"/>
      <c r="F268" s="159"/>
      <c r="G268" s="155"/>
      <c r="H268" s="91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5">
        <f t="shared" si="65"/>
        <v>0</v>
      </c>
      <c r="U268" s="53"/>
      <c r="V268" s="36"/>
      <c r="W268" s="36"/>
      <c r="X268" s="36"/>
      <c r="Y268" s="36"/>
      <c r="Z268" s="36"/>
      <c r="AA268" s="36"/>
      <c r="AB268" s="37"/>
      <c r="AC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</row>
    <row r="269" spans="2:47" ht="12.75" hidden="1">
      <c r="B269" s="125" t="s">
        <v>693</v>
      </c>
      <c r="C269" s="199" t="s">
        <v>1224</v>
      </c>
      <c r="D269" s="26">
        <v>0.11</v>
      </c>
      <c r="E269" s="173"/>
      <c r="F269" s="159"/>
      <c r="G269" s="155"/>
      <c r="H269" s="91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0.015714285714285715</v>
      </c>
      <c r="N269" s="13">
        <v>0.015714285714285715</v>
      </c>
      <c r="O269" s="13">
        <v>0.015714285714285715</v>
      </c>
      <c r="P269" s="13">
        <v>0.015714285714285715</v>
      </c>
      <c r="Q269" s="13">
        <v>0.015714285714285715</v>
      </c>
      <c r="R269" s="13">
        <v>0.015714285714285715</v>
      </c>
      <c r="S269" s="13">
        <v>0.015714285714285715</v>
      </c>
      <c r="T269" s="5">
        <f t="shared" si="65"/>
        <v>0.03142857142857143</v>
      </c>
      <c r="U269" s="53"/>
      <c r="V269" s="36"/>
      <c r="W269" s="36"/>
      <c r="X269" s="36"/>
      <c r="Y269" s="36"/>
      <c r="Z269" s="36"/>
      <c r="AA269" s="36"/>
      <c r="AB269" s="37"/>
      <c r="AC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</row>
    <row r="270" spans="2:47" ht="12.75" hidden="1">
      <c r="B270" s="125" t="s">
        <v>694</v>
      </c>
      <c r="C270" s="199" t="s">
        <v>1225</v>
      </c>
      <c r="D270" s="26">
        <v>0.04</v>
      </c>
      <c r="E270" s="173"/>
      <c r="F270" s="159"/>
      <c r="G270" s="155"/>
      <c r="H270" s="91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0.005714285714285714</v>
      </c>
      <c r="N270" s="13">
        <v>0.005714285714285714</v>
      </c>
      <c r="O270" s="13">
        <v>0.005714285714285714</v>
      </c>
      <c r="P270" s="13">
        <v>0.005714285714285714</v>
      </c>
      <c r="Q270" s="13">
        <v>0.005714285714285714</v>
      </c>
      <c r="R270" s="13">
        <v>0.005714285714285714</v>
      </c>
      <c r="S270" s="13">
        <v>0.005714285714285714</v>
      </c>
      <c r="T270" s="5">
        <f t="shared" si="65"/>
        <v>0.011428571428571429</v>
      </c>
      <c r="U270" s="53"/>
      <c r="V270" s="36"/>
      <c r="W270" s="36"/>
      <c r="X270" s="36"/>
      <c r="Y270" s="36"/>
      <c r="Z270" s="36"/>
      <c r="AA270" s="36"/>
      <c r="AB270" s="37"/>
      <c r="AC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</row>
    <row r="271" spans="2:47" ht="12.75" hidden="1">
      <c r="B271" s="125" t="s">
        <v>695</v>
      </c>
      <c r="C271" s="199" t="s">
        <v>1226</v>
      </c>
      <c r="D271" s="26">
        <v>0.5</v>
      </c>
      <c r="E271" s="173"/>
      <c r="F271" s="159"/>
      <c r="G271" s="155">
        <v>0.102</v>
      </c>
      <c r="H271" s="91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0.07142857142857142</v>
      </c>
      <c r="N271" s="13">
        <v>0.07142857142857142</v>
      </c>
      <c r="O271" s="13">
        <v>0.07142857142857142</v>
      </c>
      <c r="P271" s="13">
        <v>0.07142857142857142</v>
      </c>
      <c r="Q271" s="13">
        <v>0.07142857142857142</v>
      </c>
      <c r="R271" s="13">
        <v>0.07142857142857142</v>
      </c>
      <c r="S271" s="13">
        <v>0.07142857142857142</v>
      </c>
      <c r="T271" s="5">
        <f t="shared" si="65"/>
        <v>0.14285714285714285</v>
      </c>
      <c r="U271" s="53"/>
      <c r="V271" s="36"/>
      <c r="W271" s="36"/>
      <c r="X271" s="36"/>
      <c r="Y271" s="36"/>
      <c r="Z271" s="36"/>
      <c r="AA271" s="36"/>
      <c r="AB271" s="37"/>
      <c r="AC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</row>
    <row r="272" spans="2:47" ht="12.75" hidden="1">
      <c r="B272" s="125"/>
      <c r="C272" s="199" t="s">
        <v>1153</v>
      </c>
      <c r="D272" s="26">
        <v>0.045</v>
      </c>
      <c r="E272" s="173"/>
      <c r="F272" s="159"/>
      <c r="G272" s="155">
        <v>0.012</v>
      </c>
      <c r="H272" s="91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5"/>
      <c r="U272" s="53"/>
      <c r="V272" s="36"/>
      <c r="W272" s="36"/>
      <c r="X272" s="36"/>
      <c r="Y272" s="36"/>
      <c r="Z272" s="36"/>
      <c r="AA272" s="36"/>
      <c r="AB272" s="37"/>
      <c r="AC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</row>
    <row r="273" spans="2:47" ht="12.75" hidden="1">
      <c r="B273" s="125"/>
      <c r="C273" s="199" t="s">
        <v>902</v>
      </c>
      <c r="D273" s="26"/>
      <c r="E273" s="173"/>
      <c r="F273" s="159"/>
      <c r="G273" s="155"/>
      <c r="H273" s="91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5">
        <f t="shared" si="65"/>
        <v>0</v>
      </c>
      <c r="U273" s="53"/>
      <c r="V273" s="36"/>
      <c r="W273" s="36"/>
      <c r="X273" s="36"/>
      <c r="Y273" s="36"/>
      <c r="Z273" s="36"/>
      <c r="AA273" s="36"/>
      <c r="AB273" s="37"/>
      <c r="AC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</row>
    <row r="274" spans="2:47" ht="12.75" hidden="1">
      <c r="B274" s="125" t="s">
        <v>696</v>
      </c>
      <c r="C274" s="199" t="s">
        <v>1227</v>
      </c>
      <c r="D274" s="26">
        <v>0.237</v>
      </c>
      <c r="E274" s="173"/>
      <c r="F274" s="159"/>
      <c r="G274" s="155">
        <v>0.185</v>
      </c>
      <c r="H274" s="91">
        <v>0.177</v>
      </c>
      <c r="I274" s="13">
        <v>0</v>
      </c>
      <c r="J274" s="13">
        <v>0</v>
      </c>
      <c r="K274" s="13">
        <v>0</v>
      </c>
      <c r="L274" s="13">
        <v>0</v>
      </c>
      <c r="M274" s="13">
        <v>0.008571428571428572</v>
      </c>
      <c r="N274" s="13">
        <v>0.008571428571428572</v>
      </c>
      <c r="O274" s="13">
        <v>0.008571428571428572</v>
      </c>
      <c r="P274" s="13">
        <v>0.008571428571428572</v>
      </c>
      <c r="Q274" s="13">
        <v>0.008571428571428572</v>
      </c>
      <c r="R274" s="13">
        <v>0.008571428571428572</v>
      </c>
      <c r="S274" s="13">
        <v>0.008571428571428572</v>
      </c>
      <c r="T274" s="5">
        <f t="shared" si="65"/>
        <v>0.19414285714285712</v>
      </c>
      <c r="U274" s="53"/>
      <c r="V274" s="36"/>
      <c r="W274" s="36"/>
      <c r="X274" s="36"/>
      <c r="Y274" s="36"/>
      <c r="Z274" s="36"/>
      <c r="AA274" s="36"/>
      <c r="AB274" s="37"/>
      <c r="AC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</row>
    <row r="275" spans="2:47" ht="12.75" hidden="1">
      <c r="B275" s="125" t="s">
        <v>697</v>
      </c>
      <c r="C275" s="199" t="s">
        <v>1228</v>
      </c>
      <c r="D275" s="26">
        <v>0.023</v>
      </c>
      <c r="E275" s="173"/>
      <c r="F275" s="159"/>
      <c r="G275" s="155">
        <v>0.013</v>
      </c>
      <c r="H275" s="91">
        <v>0.011</v>
      </c>
      <c r="I275" s="13">
        <v>0</v>
      </c>
      <c r="J275" s="13">
        <v>0</v>
      </c>
      <c r="K275" s="13">
        <v>0</v>
      </c>
      <c r="L275" s="13">
        <v>0</v>
      </c>
      <c r="M275" s="13">
        <v>0.0018571428571428573</v>
      </c>
      <c r="N275" s="13">
        <v>0.0018571428571428573</v>
      </c>
      <c r="O275" s="13">
        <v>0.0018571428571428573</v>
      </c>
      <c r="P275" s="13">
        <v>0.0018571428571428573</v>
      </c>
      <c r="Q275" s="13">
        <v>0.0018571428571428573</v>
      </c>
      <c r="R275" s="13">
        <v>0.0018571428571428573</v>
      </c>
      <c r="S275" s="13">
        <v>0.0018571428571428573</v>
      </c>
      <c r="T275" s="5">
        <f t="shared" si="65"/>
        <v>0.014714285714285714</v>
      </c>
      <c r="U275" s="53"/>
      <c r="V275" s="36"/>
      <c r="W275" s="36"/>
      <c r="X275" s="36"/>
      <c r="Y275" s="36"/>
      <c r="Z275" s="36"/>
      <c r="AA275" s="36"/>
      <c r="AB275" s="37"/>
      <c r="AC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</row>
    <row r="276" spans="2:47" ht="12.75" hidden="1">
      <c r="B276" s="125" t="s">
        <v>698</v>
      </c>
      <c r="C276" s="199" t="s">
        <v>1229</v>
      </c>
      <c r="D276" s="26">
        <v>0.042</v>
      </c>
      <c r="E276" s="173"/>
      <c r="F276" s="159"/>
      <c r="G276" s="155">
        <v>0.042</v>
      </c>
      <c r="H276" s="91">
        <v>0.041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5">
        <f t="shared" si="65"/>
        <v>0.041</v>
      </c>
      <c r="U276" s="53"/>
      <c r="V276" s="36"/>
      <c r="W276" s="36"/>
      <c r="X276" s="36"/>
      <c r="Y276" s="36"/>
      <c r="Z276" s="36"/>
      <c r="AA276" s="36"/>
      <c r="AB276" s="37"/>
      <c r="AC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</row>
    <row r="277" spans="2:47" ht="12.75" hidden="1">
      <c r="B277" s="125" t="s">
        <v>699</v>
      </c>
      <c r="C277" s="199" t="s">
        <v>1230</v>
      </c>
      <c r="D277" s="26">
        <v>0.007</v>
      </c>
      <c r="E277" s="173"/>
      <c r="F277" s="159"/>
      <c r="G277" s="155">
        <v>0.001</v>
      </c>
      <c r="H277" s="91">
        <v>0.001</v>
      </c>
      <c r="I277" s="13">
        <v>0</v>
      </c>
      <c r="J277" s="13">
        <v>0</v>
      </c>
      <c r="K277" s="13">
        <v>0</v>
      </c>
      <c r="L277" s="13">
        <v>0</v>
      </c>
      <c r="M277" s="13">
        <v>0.0008571428571428572</v>
      </c>
      <c r="N277" s="13">
        <v>0.0008571428571428572</v>
      </c>
      <c r="O277" s="13">
        <v>0.0008571428571428572</v>
      </c>
      <c r="P277" s="13">
        <v>0.0008571428571428572</v>
      </c>
      <c r="Q277" s="13">
        <v>0.0008571428571428572</v>
      </c>
      <c r="R277" s="13">
        <v>0.0008571428571428572</v>
      </c>
      <c r="S277" s="13">
        <v>0.0008571428571428572</v>
      </c>
      <c r="T277" s="5">
        <f t="shared" si="65"/>
        <v>0.0027142857142857142</v>
      </c>
      <c r="U277" s="53"/>
      <c r="V277" s="36"/>
      <c r="W277" s="36"/>
      <c r="X277" s="36"/>
      <c r="Y277" s="36"/>
      <c r="Z277" s="36"/>
      <c r="AA277" s="36"/>
      <c r="AB277" s="37"/>
      <c r="AC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</row>
    <row r="278" spans="2:47" ht="12.75" hidden="1">
      <c r="B278" s="125"/>
      <c r="C278" s="199" t="s">
        <v>700</v>
      </c>
      <c r="D278" s="26"/>
      <c r="E278" s="173"/>
      <c r="F278" s="159"/>
      <c r="G278" s="155"/>
      <c r="H278" s="91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5">
        <f t="shared" si="65"/>
        <v>0</v>
      </c>
      <c r="U278" s="53"/>
      <c r="V278" s="36"/>
      <c r="W278" s="36"/>
      <c r="X278" s="36"/>
      <c r="Y278" s="36"/>
      <c r="Z278" s="36"/>
      <c r="AA278" s="36"/>
      <c r="AB278" s="37"/>
      <c r="AC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</row>
    <row r="279" spans="2:47" ht="12.75" hidden="1">
      <c r="B279" s="125" t="s">
        <v>701</v>
      </c>
      <c r="C279" s="199" t="s">
        <v>1231</v>
      </c>
      <c r="D279" s="26">
        <v>0.058</v>
      </c>
      <c r="E279" s="173"/>
      <c r="F279" s="159"/>
      <c r="G279" s="155">
        <v>0.053</v>
      </c>
      <c r="H279" s="91">
        <v>0.047</v>
      </c>
      <c r="I279" s="13">
        <v>0</v>
      </c>
      <c r="J279" s="13">
        <v>0</v>
      </c>
      <c r="K279" s="13">
        <v>0</v>
      </c>
      <c r="L279" s="13">
        <v>0</v>
      </c>
      <c r="M279" s="13">
        <v>0.001571428571428572</v>
      </c>
      <c r="N279" s="13">
        <v>0.001571428571428572</v>
      </c>
      <c r="O279" s="13">
        <v>0.001571428571428572</v>
      </c>
      <c r="P279" s="13">
        <v>0.001571428571428572</v>
      </c>
      <c r="Q279" s="13">
        <v>0.001571428571428572</v>
      </c>
      <c r="R279" s="13">
        <v>0.001571428571428572</v>
      </c>
      <c r="S279" s="13">
        <v>0.001571428571428572</v>
      </c>
      <c r="T279" s="5">
        <f t="shared" si="65"/>
        <v>0.05014285714285714</v>
      </c>
      <c r="U279" s="53"/>
      <c r="V279" s="36"/>
      <c r="W279" s="36"/>
      <c r="X279" s="36"/>
      <c r="Y279" s="36"/>
      <c r="Z279" s="36"/>
      <c r="AA279" s="36"/>
      <c r="AB279" s="37"/>
      <c r="AC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</row>
    <row r="280" spans="2:47" ht="12.75" hidden="1">
      <c r="B280" s="125" t="s">
        <v>702</v>
      </c>
      <c r="C280" s="199" t="s">
        <v>1232</v>
      </c>
      <c r="D280" s="26">
        <v>0.005</v>
      </c>
      <c r="E280" s="173"/>
      <c r="F280" s="159"/>
      <c r="G280" s="155">
        <v>0.005</v>
      </c>
      <c r="H280" s="91">
        <v>0.002</v>
      </c>
      <c r="I280" s="13">
        <v>0</v>
      </c>
      <c r="J280" s="13">
        <v>0</v>
      </c>
      <c r="K280" s="13">
        <v>0</v>
      </c>
      <c r="L280" s="13">
        <v>0</v>
      </c>
      <c r="M280" s="13">
        <v>0.00014285714285714287</v>
      </c>
      <c r="N280" s="13">
        <v>0.00014285714285714287</v>
      </c>
      <c r="O280" s="13">
        <v>0.00014285714285714287</v>
      </c>
      <c r="P280" s="13">
        <v>0.00014285714285714287</v>
      </c>
      <c r="Q280" s="13">
        <v>0.00014285714285714287</v>
      </c>
      <c r="R280" s="13">
        <v>0.00014285714285714287</v>
      </c>
      <c r="S280" s="13">
        <v>0.00014285714285714287</v>
      </c>
      <c r="T280" s="5">
        <f t="shared" si="65"/>
        <v>0.002285714285714286</v>
      </c>
      <c r="U280" s="53"/>
      <c r="V280" s="36"/>
      <c r="W280" s="36"/>
      <c r="X280" s="36"/>
      <c r="Y280" s="36"/>
      <c r="Z280" s="36"/>
      <c r="AA280" s="36"/>
      <c r="AB280" s="37"/>
      <c r="AC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</row>
    <row r="281" spans="2:47" ht="12.75" hidden="1">
      <c r="B281" s="125" t="s">
        <v>703</v>
      </c>
      <c r="C281" s="199" t="s">
        <v>1233</v>
      </c>
      <c r="D281" s="26">
        <v>0.011</v>
      </c>
      <c r="E281" s="173"/>
      <c r="F281" s="159"/>
      <c r="G281" s="155"/>
      <c r="H281" s="91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0.0015714285714285713</v>
      </c>
      <c r="N281" s="13">
        <v>0.0015714285714285713</v>
      </c>
      <c r="O281" s="13">
        <v>0.0015714285714285713</v>
      </c>
      <c r="P281" s="13">
        <v>0.0015714285714285713</v>
      </c>
      <c r="Q281" s="13">
        <v>0.0015714285714285713</v>
      </c>
      <c r="R281" s="13">
        <v>0.0015714285714285713</v>
      </c>
      <c r="S281" s="13">
        <v>0.0015714285714285713</v>
      </c>
      <c r="T281" s="5">
        <f t="shared" si="65"/>
        <v>0.0031428571428571426</v>
      </c>
      <c r="U281" s="53"/>
      <c r="V281" s="36"/>
      <c r="W281" s="36"/>
      <c r="X281" s="36"/>
      <c r="Y281" s="36"/>
      <c r="Z281" s="36"/>
      <c r="AA281" s="36"/>
      <c r="AB281" s="37"/>
      <c r="AC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</row>
    <row r="282" spans="2:47" ht="12.75" hidden="1">
      <c r="B282" s="125" t="s">
        <v>704</v>
      </c>
      <c r="C282" s="199" t="s">
        <v>1234</v>
      </c>
      <c r="D282" s="26">
        <v>0.001</v>
      </c>
      <c r="E282" s="173"/>
      <c r="F282" s="159"/>
      <c r="G282" s="155"/>
      <c r="H282" s="91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0.00014285714285714287</v>
      </c>
      <c r="N282" s="13">
        <v>0.00014285714285714287</v>
      </c>
      <c r="O282" s="13">
        <v>0.00014285714285714287</v>
      </c>
      <c r="P282" s="13">
        <v>0.00014285714285714287</v>
      </c>
      <c r="Q282" s="13">
        <v>0.00014285714285714287</v>
      </c>
      <c r="R282" s="13">
        <v>0.00014285714285714287</v>
      </c>
      <c r="S282" s="13">
        <v>0.00014285714285714287</v>
      </c>
      <c r="T282" s="5">
        <f t="shared" si="65"/>
        <v>0.00028571428571428574</v>
      </c>
      <c r="U282" s="53"/>
      <c r="V282" s="36"/>
      <c r="W282" s="36"/>
      <c r="X282" s="36"/>
      <c r="Y282" s="36"/>
      <c r="Z282" s="36"/>
      <c r="AA282" s="36"/>
      <c r="AB282" s="37"/>
      <c r="AC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</row>
    <row r="283" spans="2:47" ht="12.75" hidden="1">
      <c r="B283" s="125" t="s">
        <v>705</v>
      </c>
      <c r="C283" s="199" t="s">
        <v>1235</v>
      </c>
      <c r="D283" s="26">
        <v>0.03</v>
      </c>
      <c r="E283" s="173"/>
      <c r="F283" s="159"/>
      <c r="G283" s="155">
        <v>0.001</v>
      </c>
      <c r="H283" s="91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0.004285714285714286</v>
      </c>
      <c r="N283" s="13">
        <v>0.004285714285714286</v>
      </c>
      <c r="O283" s="13">
        <v>0.004285714285714286</v>
      </c>
      <c r="P283" s="13">
        <v>0.004285714285714286</v>
      </c>
      <c r="Q283" s="13">
        <v>0.004285714285714286</v>
      </c>
      <c r="R283" s="13">
        <v>0.004285714285714286</v>
      </c>
      <c r="S283" s="13">
        <v>0.004285714285714286</v>
      </c>
      <c r="T283" s="5">
        <f t="shared" si="65"/>
        <v>0.008571428571428572</v>
      </c>
      <c r="U283" s="53"/>
      <c r="V283" s="36"/>
      <c r="W283" s="36"/>
      <c r="X283" s="36"/>
      <c r="Y283" s="36"/>
      <c r="Z283" s="36"/>
      <c r="AA283" s="36"/>
      <c r="AB283" s="37"/>
      <c r="AC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</row>
    <row r="284" spans="2:47" ht="12.75" hidden="1">
      <c r="B284" s="125" t="s">
        <v>706</v>
      </c>
      <c r="C284" s="199" t="s">
        <v>1236</v>
      </c>
      <c r="D284" s="26">
        <v>0.006</v>
      </c>
      <c r="E284" s="173"/>
      <c r="F284" s="159"/>
      <c r="G284" s="155"/>
      <c r="H284" s="91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0.0008571428571428572</v>
      </c>
      <c r="N284" s="13">
        <v>0.0008571428571428572</v>
      </c>
      <c r="O284" s="13">
        <v>0.0008571428571428572</v>
      </c>
      <c r="P284" s="13">
        <v>0.0008571428571428572</v>
      </c>
      <c r="Q284" s="13">
        <v>0.0008571428571428572</v>
      </c>
      <c r="R284" s="13">
        <v>0.0008571428571428572</v>
      </c>
      <c r="S284" s="13">
        <v>0.0008571428571428572</v>
      </c>
      <c r="T284" s="5">
        <f t="shared" si="65"/>
        <v>0.0017142857142857144</v>
      </c>
      <c r="U284" s="53"/>
      <c r="V284" s="36"/>
      <c r="W284" s="36"/>
      <c r="X284" s="36"/>
      <c r="Y284" s="36"/>
      <c r="Z284" s="36"/>
      <c r="AA284" s="36"/>
      <c r="AB284" s="37"/>
      <c r="AC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</row>
    <row r="285" spans="2:47" ht="12.75" hidden="1">
      <c r="B285" s="125" t="s">
        <v>707</v>
      </c>
      <c r="C285" s="199" t="s">
        <v>1237</v>
      </c>
      <c r="D285" s="26">
        <v>0.015</v>
      </c>
      <c r="E285" s="173"/>
      <c r="F285" s="159"/>
      <c r="G285" s="155">
        <v>0.001</v>
      </c>
      <c r="H285" s="91">
        <v>0.001</v>
      </c>
      <c r="I285" s="13">
        <v>0</v>
      </c>
      <c r="J285" s="13">
        <v>0</v>
      </c>
      <c r="K285" s="13">
        <v>0</v>
      </c>
      <c r="L285" s="13">
        <v>0</v>
      </c>
      <c r="M285" s="13">
        <v>0.0019999999999999996</v>
      </c>
      <c r="N285" s="13">
        <v>0.0019999999999999996</v>
      </c>
      <c r="O285" s="13">
        <v>0.0019999999999999996</v>
      </c>
      <c r="P285" s="13">
        <v>0.0019999999999999996</v>
      </c>
      <c r="Q285" s="13">
        <v>0.0019999999999999996</v>
      </c>
      <c r="R285" s="13">
        <v>0.0019999999999999996</v>
      </c>
      <c r="S285" s="13">
        <v>0.0019999999999999996</v>
      </c>
      <c r="T285" s="5">
        <f t="shared" si="65"/>
        <v>0.004999999999999999</v>
      </c>
      <c r="U285" s="53"/>
      <c r="V285" s="36"/>
      <c r="W285" s="36"/>
      <c r="X285" s="36"/>
      <c r="Y285" s="36"/>
      <c r="Z285" s="36"/>
      <c r="AA285" s="36"/>
      <c r="AB285" s="37"/>
      <c r="AC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</row>
    <row r="286" spans="2:47" ht="12.75" hidden="1">
      <c r="B286" s="125" t="s">
        <v>708</v>
      </c>
      <c r="C286" s="199" t="s">
        <v>1238</v>
      </c>
      <c r="D286" s="26">
        <v>-0.003</v>
      </c>
      <c r="E286" s="173"/>
      <c r="F286" s="159"/>
      <c r="G286" s="155">
        <v>-0.003</v>
      </c>
      <c r="H286" s="91">
        <v>-0.003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5">
        <f t="shared" si="65"/>
        <v>-0.003</v>
      </c>
      <c r="U286" s="53"/>
      <c r="V286" s="36"/>
      <c r="W286" s="36"/>
      <c r="X286" s="36"/>
      <c r="Y286" s="36"/>
      <c r="Z286" s="36"/>
      <c r="AA286" s="36"/>
      <c r="AB286" s="37"/>
      <c r="AC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</row>
    <row r="287" spans="2:47" ht="12.75" hidden="1">
      <c r="B287" s="125" t="s">
        <v>709</v>
      </c>
      <c r="C287" s="199" t="s">
        <v>1239</v>
      </c>
      <c r="D287" s="26">
        <v>0.012</v>
      </c>
      <c r="E287" s="173"/>
      <c r="F287" s="159"/>
      <c r="G287" s="155"/>
      <c r="H287" s="91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0.0017142857142857144</v>
      </c>
      <c r="N287" s="13">
        <v>0.0017142857142857144</v>
      </c>
      <c r="O287" s="13">
        <v>0.0017142857142857144</v>
      </c>
      <c r="P287" s="13">
        <v>0.0017142857142857144</v>
      </c>
      <c r="Q287" s="13">
        <v>0.0017142857142857144</v>
      </c>
      <c r="R287" s="13">
        <v>0.0017142857142857144</v>
      </c>
      <c r="S287" s="13">
        <v>0.0017142857142857144</v>
      </c>
      <c r="T287" s="5">
        <f t="shared" si="65"/>
        <v>0.003428571428571429</v>
      </c>
      <c r="U287" s="53"/>
      <c r="V287" s="36"/>
      <c r="W287" s="36"/>
      <c r="X287" s="36"/>
      <c r="Y287" s="36"/>
      <c r="Z287" s="36"/>
      <c r="AA287" s="36"/>
      <c r="AB287" s="37"/>
      <c r="AC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</row>
    <row r="288" spans="2:47" ht="12.75" hidden="1">
      <c r="B288" s="125" t="s">
        <v>710</v>
      </c>
      <c r="C288" s="199" t="s">
        <v>1240</v>
      </c>
      <c r="D288" s="26">
        <v>0.014</v>
      </c>
      <c r="E288" s="173"/>
      <c r="F288" s="159"/>
      <c r="G288" s="155">
        <v>0.001</v>
      </c>
      <c r="H288" s="91">
        <v>0.001</v>
      </c>
      <c r="I288" s="13">
        <v>0</v>
      </c>
      <c r="J288" s="13">
        <v>0</v>
      </c>
      <c r="K288" s="13">
        <v>0</v>
      </c>
      <c r="L288" s="13">
        <v>0</v>
      </c>
      <c r="M288" s="13">
        <v>0.0018571428571428573</v>
      </c>
      <c r="N288" s="13">
        <v>0.0018571428571428573</v>
      </c>
      <c r="O288" s="13">
        <v>0.0018571428571428573</v>
      </c>
      <c r="P288" s="13">
        <v>0.0018571428571428573</v>
      </c>
      <c r="Q288" s="13">
        <v>0.0018571428571428573</v>
      </c>
      <c r="R288" s="13">
        <v>0.0018571428571428573</v>
      </c>
      <c r="S288" s="13">
        <v>0.0018571428571428573</v>
      </c>
      <c r="T288" s="5">
        <f t="shared" si="65"/>
        <v>0.004714285714285715</v>
      </c>
      <c r="U288" s="53"/>
      <c r="V288" s="36"/>
      <c r="W288" s="36"/>
      <c r="X288" s="36"/>
      <c r="Y288" s="36"/>
      <c r="Z288" s="36"/>
      <c r="AA288" s="36"/>
      <c r="AB288" s="37"/>
      <c r="AC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</row>
    <row r="289" spans="2:47" ht="12.75" hidden="1">
      <c r="B289" s="125" t="s">
        <v>711</v>
      </c>
      <c r="C289" s="199" t="s">
        <v>1241</v>
      </c>
      <c r="D289" s="26">
        <v>0.012</v>
      </c>
      <c r="E289" s="173"/>
      <c r="F289" s="159"/>
      <c r="G289" s="155">
        <v>0.003</v>
      </c>
      <c r="H289" s="91">
        <v>0.001</v>
      </c>
      <c r="I289" s="13">
        <v>0</v>
      </c>
      <c r="J289" s="13">
        <v>0</v>
      </c>
      <c r="K289" s="13">
        <v>0</v>
      </c>
      <c r="L289" s="13">
        <v>0</v>
      </c>
      <c r="M289" s="13">
        <v>0.0015714285714285713</v>
      </c>
      <c r="N289" s="13">
        <v>0.0015714285714285713</v>
      </c>
      <c r="O289" s="13">
        <v>0.0015714285714285713</v>
      </c>
      <c r="P289" s="13">
        <v>0.0015714285714285713</v>
      </c>
      <c r="Q289" s="13">
        <v>0.0015714285714285713</v>
      </c>
      <c r="R289" s="13">
        <v>0.0015714285714285713</v>
      </c>
      <c r="S289" s="13">
        <v>0.0015714285714285713</v>
      </c>
      <c r="T289" s="5">
        <f t="shared" si="65"/>
        <v>0.004142857142857143</v>
      </c>
      <c r="U289" s="53"/>
      <c r="V289" s="36"/>
      <c r="W289" s="36"/>
      <c r="X289" s="36"/>
      <c r="Y289" s="36"/>
      <c r="Z289" s="36"/>
      <c r="AA289" s="36"/>
      <c r="AB289" s="37"/>
      <c r="AC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</row>
    <row r="290" spans="2:47" ht="12.75" hidden="1">
      <c r="B290" s="125" t="s">
        <v>712</v>
      </c>
      <c r="C290" s="199" t="s">
        <v>1242</v>
      </c>
      <c r="D290" s="26">
        <v>0.004</v>
      </c>
      <c r="E290" s="173"/>
      <c r="F290" s="159"/>
      <c r="G290" s="155"/>
      <c r="H290" s="91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0.0005714285714285715</v>
      </c>
      <c r="N290" s="13">
        <v>0.0005714285714285715</v>
      </c>
      <c r="O290" s="13">
        <v>0.0005714285714285715</v>
      </c>
      <c r="P290" s="13">
        <v>0.0005714285714285715</v>
      </c>
      <c r="Q290" s="13">
        <v>0.0005714285714285715</v>
      </c>
      <c r="R290" s="13">
        <v>0.0005714285714285715</v>
      </c>
      <c r="S290" s="13">
        <v>0.0005714285714285715</v>
      </c>
      <c r="T290" s="5">
        <f t="shared" si="65"/>
        <v>0.001142857142857143</v>
      </c>
      <c r="U290" s="53"/>
      <c r="V290" s="36"/>
      <c r="W290" s="36"/>
      <c r="X290" s="36"/>
      <c r="Y290" s="36"/>
      <c r="Z290" s="36"/>
      <c r="AA290" s="36"/>
      <c r="AB290" s="37"/>
      <c r="AC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</row>
    <row r="291" spans="1:47" ht="12.75">
      <c r="A291" s="33" t="s">
        <v>1208</v>
      </c>
      <c r="B291" s="252" t="s">
        <v>1460</v>
      </c>
      <c r="C291" s="199" t="s">
        <v>1461</v>
      </c>
      <c r="D291" s="26">
        <f>SUM(D292:D300)</f>
        <v>1.5879999999999999</v>
      </c>
      <c r="E291" s="171"/>
      <c r="F291" s="159"/>
      <c r="G291" s="26">
        <f>SUM(G292:G300)</f>
        <v>0.73</v>
      </c>
      <c r="H291" s="90">
        <f aca="true" t="shared" si="66" ref="H291:AU291">SUM(H292:H300)</f>
        <v>0.528</v>
      </c>
      <c r="I291" s="33">
        <f t="shared" si="66"/>
        <v>0</v>
      </c>
      <c r="J291" s="33">
        <f t="shared" si="66"/>
        <v>0</v>
      </c>
      <c r="K291" s="33">
        <f aca="true" t="shared" si="67" ref="K291:T291">SUM(K292:K300)</f>
        <v>0</v>
      </c>
      <c r="L291" s="33">
        <f t="shared" si="67"/>
        <v>0</v>
      </c>
      <c r="M291" s="33">
        <f t="shared" si="67"/>
        <v>0.165</v>
      </c>
      <c r="N291" s="33">
        <f t="shared" si="67"/>
        <v>0.165</v>
      </c>
      <c r="O291" s="33">
        <f t="shared" si="67"/>
        <v>0.165</v>
      </c>
      <c r="P291" s="33">
        <f t="shared" si="67"/>
        <v>0.165</v>
      </c>
      <c r="Q291" s="33">
        <f t="shared" si="67"/>
        <v>0.165</v>
      </c>
      <c r="R291" s="33">
        <f t="shared" si="67"/>
        <v>0.165</v>
      </c>
      <c r="S291" s="33">
        <f t="shared" si="67"/>
        <v>0.165</v>
      </c>
      <c r="T291" s="26">
        <f t="shared" si="67"/>
        <v>0.858</v>
      </c>
      <c r="U291" s="90"/>
      <c r="V291" s="37">
        <f t="shared" si="66"/>
        <v>0</v>
      </c>
      <c r="W291" s="37">
        <f t="shared" si="66"/>
        <v>0</v>
      </c>
      <c r="X291" s="37">
        <f t="shared" si="66"/>
        <v>0</v>
      </c>
      <c r="Y291" s="37">
        <f t="shared" si="66"/>
        <v>0</v>
      </c>
      <c r="Z291" s="37">
        <f t="shared" si="66"/>
        <v>0</v>
      </c>
      <c r="AA291" s="37">
        <f t="shared" si="66"/>
        <v>0</v>
      </c>
      <c r="AB291" s="37">
        <f t="shared" si="66"/>
        <v>0</v>
      </c>
      <c r="AC291" s="37">
        <f t="shared" si="66"/>
        <v>0</v>
      </c>
      <c r="AE291" s="37">
        <f t="shared" si="66"/>
        <v>0</v>
      </c>
      <c r="AF291" s="37">
        <f t="shared" si="66"/>
        <v>0</v>
      </c>
      <c r="AG291" s="37">
        <f t="shared" si="66"/>
        <v>0</v>
      </c>
      <c r="AH291" s="37">
        <f t="shared" si="66"/>
        <v>0</v>
      </c>
      <c r="AI291" s="37">
        <f t="shared" si="66"/>
        <v>0</v>
      </c>
      <c r="AJ291" s="37">
        <f t="shared" si="66"/>
        <v>0</v>
      </c>
      <c r="AK291" s="37">
        <f t="shared" si="66"/>
        <v>0</v>
      </c>
      <c r="AL291" s="37">
        <f t="shared" si="66"/>
        <v>0</v>
      </c>
      <c r="AM291" s="37">
        <f t="shared" si="66"/>
        <v>0</v>
      </c>
      <c r="AN291" s="37">
        <f t="shared" si="66"/>
        <v>0</v>
      </c>
      <c r="AO291" s="37">
        <f t="shared" si="66"/>
        <v>0</v>
      </c>
      <c r="AP291" s="37">
        <f t="shared" si="66"/>
        <v>0</v>
      </c>
      <c r="AQ291" s="37">
        <f t="shared" si="66"/>
        <v>0</v>
      </c>
      <c r="AR291" s="37">
        <f t="shared" si="66"/>
        <v>0</v>
      </c>
      <c r="AS291" s="37">
        <f t="shared" si="66"/>
        <v>0</v>
      </c>
      <c r="AT291" s="37">
        <f t="shared" si="66"/>
        <v>0</v>
      </c>
      <c r="AU291" s="37">
        <f t="shared" si="66"/>
        <v>0</v>
      </c>
    </row>
    <row r="292" spans="2:47" ht="12.75" hidden="1">
      <c r="B292" s="209"/>
      <c r="C292" s="199" t="s">
        <v>713</v>
      </c>
      <c r="D292" s="192"/>
      <c r="E292" s="173"/>
      <c r="F292" s="159"/>
      <c r="G292" s="155"/>
      <c r="H292" s="91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5"/>
      <c r="U292" s="53"/>
      <c r="V292" s="36"/>
      <c r="W292" s="36"/>
      <c r="X292" s="36"/>
      <c r="Y292" s="36"/>
      <c r="Z292" s="36"/>
      <c r="AA292" s="36"/>
      <c r="AB292" s="37"/>
      <c r="AC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</row>
    <row r="293" spans="2:47" ht="12.75" hidden="1">
      <c r="B293" s="209" t="s">
        <v>714</v>
      </c>
      <c r="C293" s="199" t="s">
        <v>1243</v>
      </c>
      <c r="D293" s="194">
        <v>0.005</v>
      </c>
      <c r="E293" s="173"/>
      <c r="F293" s="159"/>
      <c r="G293" s="155">
        <v>0.005</v>
      </c>
      <c r="H293" s="91">
        <v>0.005</v>
      </c>
      <c r="I293" s="13">
        <v>0</v>
      </c>
      <c r="J293" s="13">
        <v>0</v>
      </c>
      <c r="K293" s="13">
        <v>0</v>
      </c>
      <c r="L293" s="13">
        <v>0</v>
      </c>
      <c r="M293" s="13">
        <v>-0.00028571428571428574</v>
      </c>
      <c r="N293" s="13">
        <v>-0.00028571428571428574</v>
      </c>
      <c r="O293" s="13">
        <v>-0.00028571428571428574</v>
      </c>
      <c r="P293" s="13">
        <v>-0.00028571428571428574</v>
      </c>
      <c r="Q293" s="13">
        <v>-0.00028571428571428574</v>
      </c>
      <c r="R293" s="13">
        <v>-0.00028571428571428574</v>
      </c>
      <c r="S293" s="13">
        <v>-0.00028571428571428574</v>
      </c>
      <c r="T293" s="5">
        <f>SUM(H293:N293)</f>
        <v>0.004428571428571428</v>
      </c>
      <c r="U293" s="53"/>
      <c r="V293" s="36"/>
      <c r="W293" s="36"/>
      <c r="X293" s="36"/>
      <c r="Y293" s="36"/>
      <c r="Z293" s="36"/>
      <c r="AA293" s="36"/>
      <c r="AB293" s="37"/>
      <c r="AC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</row>
    <row r="294" spans="2:47" ht="12.75" hidden="1">
      <c r="B294" s="209"/>
      <c r="C294" s="199" t="s">
        <v>566</v>
      </c>
      <c r="D294" s="194"/>
      <c r="E294" s="173"/>
      <c r="F294" s="159"/>
      <c r="G294" s="155"/>
      <c r="H294" s="91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5"/>
      <c r="U294" s="53"/>
      <c r="V294" s="36"/>
      <c r="W294" s="36"/>
      <c r="X294" s="36"/>
      <c r="Y294" s="36"/>
      <c r="Z294" s="36"/>
      <c r="AA294" s="36"/>
      <c r="AB294" s="37"/>
      <c r="AC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</row>
    <row r="295" spans="2:47" ht="12.75" hidden="1">
      <c r="B295" s="209"/>
      <c r="C295" s="199" t="s">
        <v>1244</v>
      </c>
      <c r="D295" s="194"/>
      <c r="E295" s="173"/>
      <c r="F295" s="159"/>
      <c r="G295" s="155"/>
      <c r="H295" s="91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5"/>
      <c r="U295" s="53"/>
      <c r="V295" s="36"/>
      <c r="W295" s="36"/>
      <c r="X295" s="36"/>
      <c r="Y295" s="36"/>
      <c r="Z295" s="36"/>
      <c r="AA295" s="36"/>
      <c r="AB295" s="37"/>
      <c r="AC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</row>
    <row r="296" spans="2:47" ht="12.75" hidden="1">
      <c r="B296" s="209" t="s">
        <v>715</v>
      </c>
      <c r="C296" s="199" t="s">
        <v>1245</v>
      </c>
      <c r="D296" s="194">
        <v>0.078</v>
      </c>
      <c r="E296" s="173"/>
      <c r="F296" s="159"/>
      <c r="G296" s="155">
        <v>0.078</v>
      </c>
      <c r="H296" s="91">
        <v>0.077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5">
        <f>SUM(H296:N296)</f>
        <v>0.077</v>
      </c>
      <c r="U296" s="53"/>
      <c r="V296" s="36"/>
      <c r="W296" s="36"/>
      <c r="X296" s="36"/>
      <c r="Y296" s="36"/>
      <c r="Z296" s="36"/>
      <c r="AA296" s="36"/>
      <c r="AB296" s="37"/>
      <c r="AC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</row>
    <row r="297" spans="2:47" ht="12.75" hidden="1">
      <c r="B297" s="209" t="s">
        <v>716</v>
      </c>
      <c r="C297" s="199" t="s">
        <v>1246</v>
      </c>
      <c r="D297" s="194">
        <v>0.226</v>
      </c>
      <c r="E297" s="173"/>
      <c r="F297" s="159"/>
      <c r="G297" s="155">
        <v>0.205</v>
      </c>
      <c r="H297" s="91">
        <v>0.205</v>
      </c>
      <c r="I297" s="13">
        <v>0</v>
      </c>
      <c r="J297" s="13">
        <v>0</v>
      </c>
      <c r="K297" s="13">
        <v>0</v>
      </c>
      <c r="L297" s="13">
        <v>0</v>
      </c>
      <c r="M297" s="13">
        <v>0.0030000000000000027</v>
      </c>
      <c r="N297" s="13">
        <v>0.0030000000000000027</v>
      </c>
      <c r="O297" s="13">
        <v>0.0030000000000000027</v>
      </c>
      <c r="P297" s="13">
        <v>0.0030000000000000027</v>
      </c>
      <c r="Q297" s="13">
        <v>0.0030000000000000027</v>
      </c>
      <c r="R297" s="13">
        <v>0.0030000000000000027</v>
      </c>
      <c r="S297" s="13">
        <v>0.0030000000000000027</v>
      </c>
      <c r="T297" s="5">
        <f>SUM(H297:N297)</f>
        <v>0.211</v>
      </c>
      <c r="U297" s="53"/>
      <c r="V297" s="36"/>
      <c r="W297" s="36"/>
      <c r="X297" s="36"/>
      <c r="Y297" s="36"/>
      <c r="Z297" s="36"/>
      <c r="AA297" s="36"/>
      <c r="AB297" s="37"/>
      <c r="AC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</row>
    <row r="298" spans="2:47" ht="12.75" hidden="1">
      <c r="B298" s="209" t="s">
        <v>717</v>
      </c>
      <c r="C298" s="199" t="s">
        <v>1247</v>
      </c>
      <c r="D298" s="194">
        <v>1.24</v>
      </c>
      <c r="E298" s="173"/>
      <c r="F298" s="159"/>
      <c r="G298" s="155">
        <v>0.435</v>
      </c>
      <c r="H298" s="91">
        <v>0.239</v>
      </c>
      <c r="I298" s="13">
        <v>0</v>
      </c>
      <c r="J298" s="13">
        <v>0</v>
      </c>
      <c r="K298" s="13">
        <v>0</v>
      </c>
      <c r="L298" s="13">
        <v>0</v>
      </c>
      <c r="M298" s="13">
        <v>0.143</v>
      </c>
      <c r="N298" s="13">
        <v>0.143</v>
      </c>
      <c r="O298" s="13">
        <v>0.143</v>
      </c>
      <c r="P298" s="13">
        <v>0.143</v>
      </c>
      <c r="Q298" s="13">
        <v>0.143</v>
      </c>
      <c r="R298" s="13">
        <v>0.143</v>
      </c>
      <c r="S298" s="13">
        <v>0.143</v>
      </c>
      <c r="T298" s="5">
        <f>SUM(H298:N298)</f>
        <v>0.525</v>
      </c>
      <c r="U298" s="53"/>
      <c r="V298" s="36"/>
      <c r="W298" s="36"/>
      <c r="X298" s="36"/>
      <c r="Y298" s="36"/>
      <c r="Z298" s="36"/>
      <c r="AA298" s="36"/>
      <c r="AB298" s="37"/>
      <c r="AC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</row>
    <row r="299" spans="2:47" ht="12.75" hidden="1">
      <c r="B299" s="209" t="s">
        <v>718</v>
      </c>
      <c r="C299" s="199" t="s">
        <v>1248</v>
      </c>
      <c r="D299" s="194">
        <v>0.02</v>
      </c>
      <c r="E299" s="173"/>
      <c r="F299" s="159"/>
      <c r="G299" s="155"/>
      <c r="H299" s="91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0.019285714285714288</v>
      </c>
      <c r="N299" s="13">
        <v>0.019285714285714288</v>
      </c>
      <c r="O299" s="13">
        <v>0.019285714285714288</v>
      </c>
      <c r="P299" s="13">
        <v>0.019285714285714288</v>
      </c>
      <c r="Q299" s="13">
        <v>0.019285714285714288</v>
      </c>
      <c r="R299" s="13">
        <v>0.019285714285714288</v>
      </c>
      <c r="S299" s="13">
        <v>0.019285714285714288</v>
      </c>
      <c r="T299" s="5">
        <f>SUM(H299:N299)</f>
        <v>0.038571428571428576</v>
      </c>
      <c r="U299" s="53"/>
      <c r="V299" s="36"/>
      <c r="W299" s="36"/>
      <c r="X299" s="36"/>
      <c r="Y299" s="36"/>
      <c r="Z299" s="36"/>
      <c r="AA299" s="36"/>
      <c r="AB299" s="37"/>
      <c r="AC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</row>
    <row r="300" spans="2:47" ht="12.75" hidden="1">
      <c r="B300" s="209" t="s">
        <v>719</v>
      </c>
      <c r="C300" s="199" t="s">
        <v>1249</v>
      </c>
      <c r="D300" s="194">
        <v>0.019</v>
      </c>
      <c r="E300" s="173"/>
      <c r="F300" s="159"/>
      <c r="G300" s="155">
        <v>0.007</v>
      </c>
      <c r="H300" s="91">
        <v>0.002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5">
        <f>SUM(H300:N300)</f>
        <v>0.002</v>
      </c>
      <c r="U300" s="53"/>
      <c r="V300" s="36"/>
      <c r="W300" s="36"/>
      <c r="X300" s="36"/>
      <c r="Y300" s="36"/>
      <c r="Z300" s="36"/>
      <c r="AA300" s="36"/>
      <c r="AB300" s="37"/>
      <c r="AC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</row>
    <row r="301" spans="1:47" ht="12.75">
      <c r="A301" s="33" t="s">
        <v>1209</v>
      </c>
      <c r="B301" s="252" t="s">
        <v>1460</v>
      </c>
      <c r="C301" s="199" t="s">
        <v>720</v>
      </c>
      <c r="D301" s="192">
        <f>SUM(D302:D317)</f>
        <v>1.373</v>
      </c>
      <c r="E301" s="171"/>
      <c r="F301" s="159"/>
      <c r="G301" s="192">
        <f>SUM(G302:G317)</f>
        <v>0.925</v>
      </c>
      <c r="H301" s="146">
        <f aca="true" t="shared" si="68" ref="H301:AU301">SUM(H302:H317)</f>
        <v>0.775</v>
      </c>
      <c r="I301" s="122">
        <f t="shared" si="68"/>
        <v>0</v>
      </c>
      <c r="J301" s="122">
        <f t="shared" si="68"/>
        <v>0</v>
      </c>
      <c r="K301" s="122">
        <f aca="true" t="shared" si="69" ref="K301:T301">SUM(K302:K317)</f>
        <v>0</v>
      </c>
      <c r="L301" s="122">
        <f t="shared" si="69"/>
        <v>0</v>
      </c>
      <c r="M301" s="122">
        <f t="shared" si="69"/>
        <v>0.07314285714285715</v>
      </c>
      <c r="N301" s="122">
        <f t="shared" si="69"/>
        <v>0.07314285714285715</v>
      </c>
      <c r="O301" s="122">
        <f t="shared" si="69"/>
        <v>0.07314285714285715</v>
      </c>
      <c r="P301" s="122">
        <f t="shared" si="69"/>
        <v>0.07314285714285715</v>
      </c>
      <c r="Q301" s="122">
        <f t="shared" si="69"/>
        <v>0.07314285714285715</v>
      </c>
      <c r="R301" s="122">
        <f t="shared" si="69"/>
        <v>0.07314285714285715</v>
      </c>
      <c r="S301" s="122">
        <f t="shared" si="69"/>
        <v>0.07314285714285715</v>
      </c>
      <c r="T301" s="194">
        <f t="shared" si="69"/>
        <v>0.9212857142857143</v>
      </c>
      <c r="U301" s="146"/>
      <c r="V301" s="231">
        <f t="shared" si="68"/>
        <v>0</v>
      </c>
      <c r="W301" s="231">
        <f t="shared" si="68"/>
        <v>0</v>
      </c>
      <c r="X301" s="231">
        <f t="shared" si="68"/>
        <v>0</v>
      </c>
      <c r="Y301" s="231">
        <f t="shared" si="68"/>
        <v>0</v>
      </c>
      <c r="Z301" s="231">
        <f t="shared" si="68"/>
        <v>0</v>
      </c>
      <c r="AA301" s="231">
        <f t="shared" si="68"/>
        <v>0</v>
      </c>
      <c r="AB301" s="231">
        <f t="shared" si="68"/>
        <v>0</v>
      </c>
      <c r="AC301" s="231">
        <f t="shared" si="68"/>
        <v>0</v>
      </c>
      <c r="AD301" s="88"/>
      <c r="AE301" s="231">
        <f t="shared" si="68"/>
        <v>0</v>
      </c>
      <c r="AF301" s="231">
        <f t="shared" si="68"/>
        <v>0</v>
      </c>
      <c r="AG301" s="231">
        <f t="shared" si="68"/>
        <v>0</v>
      </c>
      <c r="AH301" s="231">
        <f t="shared" si="68"/>
        <v>0</v>
      </c>
      <c r="AI301" s="231">
        <f t="shared" si="68"/>
        <v>0</v>
      </c>
      <c r="AJ301" s="231">
        <f t="shared" si="68"/>
        <v>0</v>
      </c>
      <c r="AK301" s="231">
        <f t="shared" si="68"/>
        <v>0</v>
      </c>
      <c r="AL301" s="231">
        <f t="shared" si="68"/>
        <v>0</v>
      </c>
      <c r="AM301" s="231">
        <f t="shared" si="68"/>
        <v>0</v>
      </c>
      <c r="AN301" s="231">
        <f t="shared" si="68"/>
        <v>0</v>
      </c>
      <c r="AO301" s="231">
        <f t="shared" si="68"/>
        <v>0</v>
      </c>
      <c r="AP301" s="231">
        <f t="shared" si="68"/>
        <v>0</v>
      </c>
      <c r="AQ301" s="231">
        <f t="shared" si="68"/>
        <v>0</v>
      </c>
      <c r="AR301" s="231">
        <f t="shared" si="68"/>
        <v>0</v>
      </c>
      <c r="AS301" s="231">
        <f t="shared" si="68"/>
        <v>0</v>
      </c>
      <c r="AT301" s="231">
        <f t="shared" si="68"/>
        <v>0</v>
      </c>
      <c r="AU301" s="231">
        <f t="shared" si="68"/>
        <v>0</v>
      </c>
    </row>
    <row r="302" spans="2:47" ht="12.75" hidden="1">
      <c r="B302" s="197" t="s">
        <v>721</v>
      </c>
      <c r="C302" s="199" t="s">
        <v>1250</v>
      </c>
      <c r="D302" s="192">
        <v>0</v>
      </c>
      <c r="E302" s="173"/>
      <c r="F302" s="159"/>
      <c r="G302" s="155"/>
      <c r="H302" s="91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5">
        <f aca="true" t="shared" si="70" ref="T302:T317">SUM(H302:N302)</f>
        <v>0</v>
      </c>
      <c r="U302" s="53"/>
      <c r="V302" s="36"/>
      <c r="W302" s="36"/>
      <c r="X302" s="36"/>
      <c r="Y302" s="36"/>
      <c r="Z302" s="36"/>
      <c r="AA302" s="36"/>
      <c r="AB302" s="37"/>
      <c r="AC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</row>
    <row r="303" spans="2:47" ht="12.75" hidden="1">
      <c r="B303" s="197" t="s">
        <v>722</v>
      </c>
      <c r="C303" s="199" t="s">
        <v>1252</v>
      </c>
      <c r="D303" s="192">
        <v>0.002</v>
      </c>
      <c r="E303" s="173"/>
      <c r="F303" s="159"/>
      <c r="G303" s="155"/>
      <c r="H303" s="91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0.00028571428571428574</v>
      </c>
      <c r="N303" s="13">
        <v>0.00028571428571428574</v>
      </c>
      <c r="O303" s="13">
        <v>0.00028571428571428574</v>
      </c>
      <c r="P303" s="13">
        <v>0.00028571428571428574</v>
      </c>
      <c r="Q303" s="13">
        <v>0.00028571428571428574</v>
      </c>
      <c r="R303" s="13">
        <v>0.00028571428571428574</v>
      </c>
      <c r="S303" s="13">
        <v>0.00028571428571428574</v>
      </c>
      <c r="T303" s="5">
        <f t="shared" si="70"/>
        <v>0.0005714285714285715</v>
      </c>
      <c r="U303" s="53"/>
      <c r="V303" s="36"/>
      <c r="W303" s="36"/>
      <c r="X303" s="36"/>
      <c r="Y303" s="36"/>
      <c r="Z303" s="36"/>
      <c r="AA303" s="36"/>
      <c r="AB303" s="37"/>
      <c r="AC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</row>
    <row r="304" spans="2:47" ht="12.75" hidden="1">
      <c r="B304" s="197" t="s">
        <v>724</v>
      </c>
      <c r="C304" s="199" t="s">
        <v>1253</v>
      </c>
      <c r="D304" s="192">
        <v>0</v>
      </c>
      <c r="E304" s="173"/>
      <c r="F304" s="159"/>
      <c r="G304" s="155"/>
      <c r="H304" s="91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5">
        <f t="shared" si="70"/>
        <v>0</v>
      </c>
      <c r="U304" s="53"/>
      <c r="V304" s="36"/>
      <c r="W304" s="36"/>
      <c r="X304" s="36"/>
      <c r="Y304" s="36"/>
      <c r="Z304" s="36"/>
      <c r="AA304" s="36"/>
      <c r="AB304" s="37"/>
      <c r="AC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</row>
    <row r="305" spans="2:47" ht="12.75" hidden="1">
      <c r="B305" s="197" t="s">
        <v>725</v>
      </c>
      <c r="C305" s="199" t="s">
        <v>1257</v>
      </c>
      <c r="D305" s="192">
        <v>-0.007</v>
      </c>
      <c r="E305" s="173"/>
      <c r="F305" s="159"/>
      <c r="G305" s="155">
        <v>-0.008</v>
      </c>
      <c r="H305" s="91">
        <v>-0.008</v>
      </c>
      <c r="I305" s="13">
        <v>0</v>
      </c>
      <c r="J305" s="13">
        <v>0</v>
      </c>
      <c r="K305" s="13">
        <v>0</v>
      </c>
      <c r="L305" s="13">
        <v>0</v>
      </c>
      <c r="M305" s="13">
        <v>0.00014285714285714287</v>
      </c>
      <c r="N305" s="13">
        <v>0.00014285714285714287</v>
      </c>
      <c r="O305" s="13">
        <v>0.00014285714285714287</v>
      </c>
      <c r="P305" s="13">
        <v>0.00014285714285714287</v>
      </c>
      <c r="Q305" s="13">
        <v>0.00014285714285714287</v>
      </c>
      <c r="R305" s="13">
        <v>0.00014285714285714287</v>
      </c>
      <c r="S305" s="13">
        <v>0.00014285714285714287</v>
      </c>
      <c r="T305" s="5">
        <f t="shared" si="70"/>
        <v>-0.007714285714285715</v>
      </c>
      <c r="U305" s="53"/>
      <c r="V305" s="36"/>
      <c r="W305" s="36"/>
      <c r="X305" s="36"/>
      <c r="Y305" s="36"/>
      <c r="Z305" s="36"/>
      <c r="AA305" s="36"/>
      <c r="AB305" s="37"/>
      <c r="AC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</row>
    <row r="306" spans="2:47" ht="12.75" hidden="1">
      <c r="B306" s="197" t="s">
        <v>726</v>
      </c>
      <c r="C306" s="199" t="s">
        <v>1273</v>
      </c>
      <c r="D306" s="192">
        <v>0.013</v>
      </c>
      <c r="E306" s="173"/>
      <c r="F306" s="159"/>
      <c r="G306" s="155">
        <v>0.001</v>
      </c>
      <c r="H306" s="91">
        <v>0.001</v>
      </c>
      <c r="I306" s="13">
        <v>0</v>
      </c>
      <c r="J306" s="13">
        <v>0</v>
      </c>
      <c r="K306" s="13">
        <v>0</v>
      </c>
      <c r="L306" s="13">
        <v>0</v>
      </c>
      <c r="M306" s="13">
        <v>0.0017142857142857144</v>
      </c>
      <c r="N306" s="13">
        <v>0.0017142857142857144</v>
      </c>
      <c r="O306" s="13">
        <v>0.0017142857142857144</v>
      </c>
      <c r="P306" s="13">
        <v>0.0017142857142857144</v>
      </c>
      <c r="Q306" s="13">
        <v>0.0017142857142857144</v>
      </c>
      <c r="R306" s="13">
        <v>0.0017142857142857144</v>
      </c>
      <c r="S306" s="13">
        <v>0.0017142857142857144</v>
      </c>
      <c r="T306" s="5">
        <f t="shared" si="70"/>
        <v>0.004428571428571428</v>
      </c>
      <c r="U306" s="53"/>
      <c r="V306" s="36"/>
      <c r="W306" s="36"/>
      <c r="X306" s="36"/>
      <c r="Y306" s="36"/>
      <c r="Z306" s="36"/>
      <c r="AA306" s="36"/>
      <c r="AB306" s="37"/>
      <c r="AC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</row>
    <row r="307" spans="2:47" ht="12.75" hidden="1">
      <c r="B307" s="197" t="s">
        <v>727</v>
      </c>
      <c r="C307" s="199" t="s">
        <v>1274</v>
      </c>
      <c r="D307" s="192">
        <v>0.004</v>
      </c>
      <c r="E307" s="173"/>
      <c r="F307" s="159"/>
      <c r="G307" s="155"/>
      <c r="H307" s="91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0.0005714285714285715</v>
      </c>
      <c r="N307" s="13">
        <v>0.0005714285714285715</v>
      </c>
      <c r="O307" s="13">
        <v>0.0005714285714285715</v>
      </c>
      <c r="P307" s="13">
        <v>0.0005714285714285715</v>
      </c>
      <c r="Q307" s="13">
        <v>0.0005714285714285715</v>
      </c>
      <c r="R307" s="13">
        <v>0.0005714285714285715</v>
      </c>
      <c r="S307" s="13">
        <v>0.0005714285714285715</v>
      </c>
      <c r="T307" s="5">
        <f t="shared" si="70"/>
        <v>0.001142857142857143</v>
      </c>
      <c r="U307" s="53"/>
      <c r="V307" s="36"/>
      <c r="W307" s="36"/>
      <c r="X307" s="36"/>
      <c r="Y307" s="36"/>
      <c r="Z307" s="36"/>
      <c r="AA307" s="36"/>
      <c r="AB307" s="37"/>
      <c r="AC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</row>
    <row r="308" spans="2:47" ht="12.75" hidden="1">
      <c r="B308" s="197"/>
      <c r="C308" s="199" t="s">
        <v>728</v>
      </c>
      <c r="D308" s="192"/>
      <c r="E308" s="173"/>
      <c r="F308" s="159"/>
      <c r="G308" s="155"/>
      <c r="H308" s="91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5">
        <f t="shared" si="70"/>
        <v>0</v>
      </c>
      <c r="U308" s="53"/>
      <c r="V308" s="36"/>
      <c r="W308" s="36"/>
      <c r="X308" s="36"/>
      <c r="Y308" s="36"/>
      <c r="Z308" s="36"/>
      <c r="AA308" s="36"/>
      <c r="AB308" s="37"/>
      <c r="AC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</row>
    <row r="309" spans="2:47" ht="12.75" hidden="1">
      <c r="B309" s="197" t="s">
        <v>729</v>
      </c>
      <c r="C309" s="199" t="s">
        <v>1275</v>
      </c>
      <c r="D309" s="192">
        <v>0.001</v>
      </c>
      <c r="E309" s="173"/>
      <c r="F309" s="159"/>
      <c r="G309" s="155">
        <v>0.001</v>
      </c>
      <c r="H309" s="91">
        <v>0.001</v>
      </c>
      <c r="I309" s="13">
        <v>0</v>
      </c>
      <c r="J309" s="13">
        <v>0</v>
      </c>
      <c r="K309" s="13">
        <v>0</v>
      </c>
      <c r="L309" s="13">
        <v>0</v>
      </c>
      <c r="M309" s="13">
        <v>0.0007142857142857143</v>
      </c>
      <c r="N309" s="13">
        <v>0.0007142857142857143</v>
      </c>
      <c r="O309" s="13">
        <v>0.0007142857142857143</v>
      </c>
      <c r="P309" s="13">
        <v>0.0007142857142857143</v>
      </c>
      <c r="Q309" s="13">
        <v>0.0007142857142857143</v>
      </c>
      <c r="R309" s="13">
        <v>0.0007142857142857143</v>
      </c>
      <c r="S309" s="13">
        <v>0.0007142857142857143</v>
      </c>
      <c r="T309" s="5">
        <f t="shared" si="70"/>
        <v>0.0024285714285714284</v>
      </c>
      <c r="U309" s="53"/>
      <c r="V309" s="36"/>
      <c r="W309" s="36"/>
      <c r="X309" s="36"/>
      <c r="Y309" s="36"/>
      <c r="Z309" s="36"/>
      <c r="AA309" s="36"/>
      <c r="AB309" s="37"/>
      <c r="AC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</row>
    <row r="310" spans="2:47" ht="12.75" hidden="1">
      <c r="B310" s="197" t="s">
        <v>730</v>
      </c>
      <c r="C310" s="199" t="s">
        <v>903</v>
      </c>
      <c r="D310" s="192">
        <v>0</v>
      </c>
      <c r="E310" s="173"/>
      <c r="F310" s="159"/>
      <c r="G310" s="155"/>
      <c r="H310" s="91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5">
        <f t="shared" si="70"/>
        <v>0</v>
      </c>
      <c r="U310" s="53"/>
      <c r="V310" s="36"/>
      <c r="W310" s="36"/>
      <c r="X310" s="36"/>
      <c r="Y310" s="36"/>
      <c r="Z310" s="36"/>
      <c r="AA310" s="36"/>
      <c r="AB310" s="37"/>
      <c r="AC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</row>
    <row r="311" spans="2:47" ht="12.75" hidden="1">
      <c r="B311" s="197" t="s">
        <v>731</v>
      </c>
      <c r="C311" s="199" t="s">
        <v>1276</v>
      </c>
      <c r="D311" s="192">
        <v>0.007</v>
      </c>
      <c r="E311" s="173"/>
      <c r="F311" s="159"/>
      <c r="G311" s="155">
        <v>0.001</v>
      </c>
      <c r="H311" s="91">
        <v>0.001</v>
      </c>
      <c r="I311" s="13">
        <v>0</v>
      </c>
      <c r="J311" s="13">
        <v>0</v>
      </c>
      <c r="K311" s="13">
        <v>0</v>
      </c>
      <c r="L311" s="13">
        <v>0</v>
      </c>
      <c r="M311" s="13">
        <v>0.001142857142857143</v>
      </c>
      <c r="N311" s="13">
        <v>0.001142857142857143</v>
      </c>
      <c r="O311" s="13">
        <v>0.001142857142857143</v>
      </c>
      <c r="P311" s="13">
        <v>0.001142857142857143</v>
      </c>
      <c r="Q311" s="13">
        <v>0.001142857142857143</v>
      </c>
      <c r="R311" s="13">
        <v>0.001142857142857143</v>
      </c>
      <c r="S311" s="13">
        <v>0.001142857142857143</v>
      </c>
      <c r="T311" s="5">
        <f t="shared" si="70"/>
        <v>0.003285714285714286</v>
      </c>
      <c r="U311" s="53"/>
      <c r="V311" s="36"/>
      <c r="W311" s="36"/>
      <c r="X311" s="36"/>
      <c r="Y311" s="36"/>
      <c r="Z311" s="36"/>
      <c r="AA311" s="36"/>
      <c r="AB311" s="37"/>
      <c r="AC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</row>
    <row r="312" spans="2:47" ht="12.75" hidden="1">
      <c r="B312" s="197" t="s">
        <v>732</v>
      </c>
      <c r="C312" s="199" t="s">
        <v>904</v>
      </c>
      <c r="D312" s="192">
        <v>0.012</v>
      </c>
      <c r="E312" s="173"/>
      <c r="F312" s="159"/>
      <c r="G312" s="155">
        <v>0.002</v>
      </c>
      <c r="H312" s="91">
        <v>0.001</v>
      </c>
      <c r="I312" s="13">
        <v>0</v>
      </c>
      <c r="J312" s="13">
        <v>0</v>
      </c>
      <c r="K312" s="13">
        <v>0</v>
      </c>
      <c r="L312" s="13">
        <v>0</v>
      </c>
      <c r="M312" s="13">
        <v>0.0015714285714285713</v>
      </c>
      <c r="N312" s="13">
        <v>0.0015714285714285713</v>
      </c>
      <c r="O312" s="13">
        <v>0.0015714285714285713</v>
      </c>
      <c r="P312" s="13">
        <v>0.0015714285714285713</v>
      </c>
      <c r="Q312" s="13">
        <v>0.0015714285714285713</v>
      </c>
      <c r="R312" s="13">
        <v>0.0015714285714285713</v>
      </c>
      <c r="S312" s="13">
        <v>0.0015714285714285713</v>
      </c>
      <c r="T312" s="5">
        <f t="shared" si="70"/>
        <v>0.004142857142857143</v>
      </c>
      <c r="U312" s="53"/>
      <c r="V312" s="36"/>
      <c r="W312" s="36"/>
      <c r="X312" s="36"/>
      <c r="Y312" s="36"/>
      <c r="Z312" s="36"/>
      <c r="AA312" s="36"/>
      <c r="AB312" s="37"/>
      <c r="AC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</row>
    <row r="313" spans="2:47" ht="12.75" hidden="1">
      <c r="B313" s="197" t="s">
        <v>733</v>
      </c>
      <c r="C313" s="199" t="s">
        <v>905</v>
      </c>
      <c r="D313" s="192">
        <v>0.031</v>
      </c>
      <c r="E313" s="173"/>
      <c r="F313" s="159"/>
      <c r="G313" s="155">
        <v>0.021</v>
      </c>
      <c r="H313" s="91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0.004428571428571428</v>
      </c>
      <c r="N313" s="13">
        <v>0.004428571428571428</v>
      </c>
      <c r="O313" s="13">
        <v>0.004428571428571428</v>
      </c>
      <c r="P313" s="13">
        <v>0.004428571428571428</v>
      </c>
      <c r="Q313" s="13">
        <v>0.004428571428571428</v>
      </c>
      <c r="R313" s="13">
        <v>0.004428571428571428</v>
      </c>
      <c r="S313" s="13">
        <v>0.004428571428571428</v>
      </c>
      <c r="T313" s="5">
        <f t="shared" si="70"/>
        <v>0.008857142857142857</v>
      </c>
      <c r="U313" s="53"/>
      <c r="V313" s="36"/>
      <c r="W313" s="36"/>
      <c r="X313" s="36"/>
      <c r="Y313" s="36"/>
      <c r="Z313" s="36"/>
      <c r="AA313" s="36"/>
      <c r="AB313" s="37"/>
      <c r="AC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</row>
    <row r="314" spans="2:47" ht="12.75" hidden="1">
      <c r="B314" s="197" t="s">
        <v>734</v>
      </c>
      <c r="C314" s="199" t="s">
        <v>906</v>
      </c>
      <c r="D314" s="192">
        <v>0.021</v>
      </c>
      <c r="E314" s="173"/>
      <c r="F314" s="159"/>
      <c r="G314" s="155">
        <v>0.009</v>
      </c>
      <c r="H314" s="91">
        <v>0.003</v>
      </c>
      <c r="I314" s="13">
        <v>0</v>
      </c>
      <c r="J314" s="13">
        <v>0</v>
      </c>
      <c r="K314" s="13">
        <v>0</v>
      </c>
      <c r="L314" s="13">
        <v>0</v>
      </c>
      <c r="M314" s="13">
        <v>0.003</v>
      </c>
      <c r="N314" s="13">
        <v>0.003</v>
      </c>
      <c r="O314" s="13">
        <v>0.003</v>
      </c>
      <c r="P314" s="13">
        <v>0.003</v>
      </c>
      <c r="Q314" s="13">
        <v>0.003</v>
      </c>
      <c r="R314" s="13">
        <v>0.003</v>
      </c>
      <c r="S314" s="13">
        <v>0.003</v>
      </c>
      <c r="T314" s="5">
        <f t="shared" si="70"/>
        <v>0.009000000000000001</v>
      </c>
      <c r="U314" s="53"/>
      <c r="V314" s="36"/>
      <c r="W314" s="36"/>
      <c r="X314" s="36"/>
      <c r="Y314" s="36"/>
      <c r="Z314" s="36"/>
      <c r="AA314" s="36"/>
      <c r="AB314" s="37"/>
      <c r="AC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</row>
    <row r="315" spans="2:47" ht="12.75" hidden="1">
      <c r="B315" s="197" t="s">
        <v>735</v>
      </c>
      <c r="C315" s="199" t="s">
        <v>907</v>
      </c>
      <c r="D315" s="192">
        <v>0.579</v>
      </c>
      <c r="E315" s="173"/>
      <c r="F315" s="159"/>
      <c r="G315" s="155">
        <v>0.458</v>
      </c>
      <c r="H315" s="91">
        <v>0.368</v>
      </c>
      <c r="I315" s="13">
        <v>0</v>
      </c>
      <c r="J315" s="13">
        <v>0</v>
      </c>
      <c r="K315" s="13">
        <v>0</v>
      </c>
      <c r="L315" s="13">
        <v>0</v>
      </c>
      <c r="M315" s="13">
        <v>0.027142857142857153</v>
      </c>
      <c r="N315" s="13">
        <v>0.027142857142857153</v>
      </c>
      <c r="O315" s="13">
        <v>0.027142857142857153</v>
      </c>
      <c r="P315" s="13">
        <v>0.027142857142857153</v>
      </c>
      <c r="Q315" s="13">
        <v>0.027142857142857153</v>
      </c>
      <c r="R315" s="13">
        <v>0.027142857142857153</v>
      </c>
      <c r="S315" s="13">
        <v>0.027142857142857153</v>
      </c>
      <c r="T315" s="5">
        <f t="shared" si="70"/>
        <v>0.42228571428571426</v>
      </c>
      <c r="U315" s="53"/>
      <c r="V315" s="36"/>
      <c r="W315" s="36"/>
      <c r="X315" s="36"/>
      <c r="Y315" s="36"/>
      <c r="Z315" s="36"/>
      <c r="AA315" s="36"/>
      <c r="AB315" s="37"/>
      <c r="AC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</row>
    <row r="316" spans="2:47" ht="12.75" hidden="1">
      <c r="B316" s="197" t="s">
        <v>736</v>
      </c>
      <c r="C316" s="199" t="s">
        <v>908</v>
      </c>
      <c r="D316" s="192">
        <v>0.198</v>
      </c>
      <c r="E316" s="173"/>
      <c r="F316" s="159"/>
      <c r="G316" s="155">
        <v>0.154</v>
      </c>
      <c r="H316" s="91">
        <v>0.141</v>
      </c>
      <c r="I316" s="13">
        <v>0</v>
      </c>
      <c r="J316" s="13">
        <v>0</v>
      </c>
      <c r="K316" s="13">
        <v>0</v>
      </c>
      <c r="L316" s="13">
        <v>0</v>
      </c>
      <c r="M316" s="13">
        <v>0.009571428571428573</v>
      </c>
      <c r="N316" s="13">
        <v>0.009571428571428573</v>
      </c>
      <c r="O316" s="13">
        <v>0.009571428571428573</v>
      </c>
      <c r="P316" s="13">
        <v>0.009571428571428573</v>
      </c>
      <c r="Q316" s="13">
        <v>0.009571428571428573</v>
      </c>
      <c r="R316" s="13">
        <v>0.009571428571428573</v>
      </c>
      <c r="S316" s="13">
        <v>0.009571428571428573</v>
      </c>
      <c r="T316" s="5">
        <f t="shared" si="70"/>
        <v>0.16014285714285711</v>
      </c>
      <c r="U316" s="53"/>
      <c r="V316" s="36"/>
      <c r="W316" s="36"/>
      <c r="X316" s="36"/>
      <c r="Y316" s="36"/>
      <c r="Z316" s="36"/>
      <c r="AA316" s="36"/>
      <c r="AB316" s="37"/>
      <c r="AC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</row>
    <row r="317" spans="2:47" ht="12.75" hidden="1">
      <c r="B317" s="197" t="s">
        <v>737</v>
      </c>
      <c r="C317" s="199" t="s">
        <v>909</v>
      </c>
      <c r="D317" s="192">
        <v>0.512</v>
      </c>
      <c r="E317" s="173"/>
      <c r="F317" s="159"/>
      <c r="G317" s="155">
        <v>0.286</v>
      </c>
      <c r="H317" s="91">
        <v>0.267</v>
      </c>
      <c r="I317" s="13">
        <v>0</v>
      </c>
      <c r="J317" s="13">
        <v>0</v>
      </c>
      <c r="K317" s="13">
        <v>0</v>
      </c>
      <c r="L317" s="13">
        <v>0</v>
      </c>
      <c r="M317" s="13">
        <v>0.022857142857142854</v>
      </c>
      <c r="N317" s="13">
        <v>0.022857142857142854</v>
      </c>
      <c r="O317" s="13">
        <v>0.022857142857142854</v>
      </c>
      <c r="P317" s="13">
        <v>0.022857142857142854</v>
      </c>
      <c r="Q317" s="13">
        <v>0.022857142857142854</v>
      </c>
      <c r="R317" s="13">
        <v>0.022857142857142854</v>
      </c>
      <c r="S317" s="13">
        <v>0.022857142857142854</v>
      </c>
      <c r="T317" s="5">
        <f t="shared" si="70"/>
        <v>0.3127142857142857</v>
      </c>
      <c r="U317" s="53"/>
      <c r="V317" s="36"/>
      <c r="W317" s="36"/>
      <c r="X317" s="36"/>
      <c r="Y317" s="36"/>
      <c r="Z317" s="36"/>
      <c r="AA317" s="36"/>
      <c r="AB317" s="37"/>
      <c r="AC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</row>
    <row r="318" spans="1:47" ht="12.75">
      <c r="A318" s="33" t="s">
        <v>1202</v>
      </c>
      <c r="B318" s="252" t="s">
        <v>1460</v>
      </c>
      <c r="C318" s="199" t="s">
        <v>738</v>
      </c>
      <c r="D318" s="194">
        <f>SUM(D319:D342)</f>
        <v>1.404</v>
      </c>
      <c r="E318" s="171"/>
      <c r="F318" s="159"/>
      <c r="G318" s="192">
        <f>SUM(G319:G342)</f>
        <v>0.528</v>
      </c>
      <c r="H318" s="146">
        <f aca="true" t="shared" si="71" ref="H318:AU318">SUM(H319:H342)</f>
        <v>0.44100000000000006</v>
      </c>
      <c r="I318" s="88">
        <f t="shared" si="71"/>
        <v>0</v>
      </c>
      <c r="J318" s="88">
        <f t="shared" si="71"/>
        <v>0</v>
      </c>
      <c r="K318" s="88">
        <f aca="true" t="shared" si="72" ref="K318:T318">SUM(K319:K342)</f>
        <v>0</v>
      </c>
      <c r="L318" s="88">
        <f t="shared" si="72"/>
        <v>0</v>
      </c>
      <c r="M318" s="88">
        <f t="shared" si="72"/>
        <v>0.13671428571428573</v>
      </c>
      <c r="N318" s="88">
        <f t="shared" si="72"/>
        <v>0.13671428571428573</v>
      </c>
      <c r="O318" s="88">
        <f t="shared" si="72"/>
        <v>0.13671428571428573</v>
      </c>
      <c r="P318" s="88">
        <f t="shared" si="72"/>
        <v>0.13671428571428573</v>
      </c>
      <c r="Q318" s="88">
        <f t="shared" si="72"/>
        <v>0.13671428571428573</v>
      </c>
      <c r="R318" s="88">
        <f t="shared" si="72"/>
        <v>0.13671428571428573</v>
      </c>
      <c r="S318" s="88">
        <f t="shared" si="72"/>
        <v>0.13671428571428573</v>
      </c>
      <c r="T318" s="194">
        <f t="shared" si="72"/>
        <v>0.7144285714285713</v>
      </c>
      <c r="U318" s="146"/>
      <c r="V318" s="231">
        <f t="shared" si="71"/>
        <v>0</v>
      </c>
      <c r="W318" s="231">
        <f t="shared" si="71"/>
        <v>0</v>
      </c>
      <c r="X318" s="231">
        <f t="shared" si="71"/>
        <v>0</v>
      </c>
      <c r="Y318" s="231">
        <f t="shared" si="71"/>
        <v>0</v>
      </c>
      <c r="Z318" s="231">
        <f t="shared" si="71"/>
        <v>0</v>
      </c>
      <c r="AA318" s="231">
        <f t="shared" si="71"/>
        <v>0</v>
      </c>
      <c r="AB318" s="231">
        <f t="shared" si="71"/>
        <v>0</v>
      </c>
      <c r="AC318" s="231">
        <f t="shared" si="71"/>
        <v>0</v>
      </c>
      <c r="AD318" s="88"/>
      <c r="AE318" s="231">
        <f t="shared" si="71"/>
        <v>0</v>
      </c>
      <c r="AF318" s="231">
        <f t="shared" si="71"/>
        <v>0</v>
      </c>
      <c r="AG318" s="231">
        <f t="shared" si="71"/>
        <v>0</v>
      </c>
      <c r="AH318" s="231">
        <f t="shared" si="71"/>
        <v>0</v>
      </c>
      <c r="AI318" s="231">
        <f t="shared" si="71"/>
        <v>0</v>
      </c>
      <c r="AJ318" s="231">
        <f t="shared" si="71"/>
        <v>0</v>
      </c>
      <c r="AK318" s="231">
        <f t="shared" si="71"/>
        <v>0</v>
      </c>
      <c r="AL318" s="231">
        <f t="shared" si="71"/>
        <v>0</v>
      </c>
      <c r="AM318" s="231">
        <f t="shared" si="71"/>
        <v>0</v>
      </c>
      <c r="AN318" s="231">
        <f t="shared" si="71"/>
        <v>0</v>
      </c>
      <c r="AO318" s="231">
        <f t="shared" si="71"/>
        <v>0</v>
      </c>
      <c r="AP318" s="231">
        <f t="shared" si="71"/>
        <v>0</v>
      </c>
      <c r="AQ318" s="231">
        <f t="shared" si="71"/>
        <v>0</v>
      </c>
      <c r="AR318" s="231">
        <f t="shared" si="71"/>
        <v>0</v>
      </c>
      <c r="AS318" s="231">
        <f t="shared" si="71"/>
        <v>0</v>
      </c>
      <c r="AT318" s="231">
        <f t="shared" si="71"/>
        <v>0</v>
      </c>
      <c r="AU318" s="231">
        <f t="shared" si="71"/>
        <v>0</v>
      </c>
    </row>
    <row r="319" spans="2:47" ht="12.75" hidden="1">
      <c r="B319" s="197" t="s">
        <v>739</v>
      </c>
      <c r="C319" s="199" t="s">
        <v>1277</v>
      </c>
      <c r="D319" s="192">
        <v>0.034</v>
      </c>
      <c r="E319" s="173"/>
      <c r="F319" s="159"/>
      <c r="G319" s="155">
        <v>0.017</v>
      </c>
      <c r="H319" s="91">
        <v>0.017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5">
        <f aca="true" t="shared" si="73" ref="T319:T342">SUM(H319:N319)</f>
        <v>0.017</v>
      </c>
      <c r="U319" s="53"/>
      <c r="V319" s="36"/>
      <c r="W319" s="36"/>
      <c r="X319" s="36"/>
      <c r="Y319" s="36"/>
      <c r="Z319" s="36"/>
      <c r="AA319" s="36"/>
      <c r="AB319" s="37"/>
      <c r="AC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</row>
    <row r="320" spans="2:47" ht="12.75" hidden="1">
      <c r="B320" s="197" t="s">
        <v>740</v>
      </c>
      <c r="C320" s="199" t="s">
        <v>1278</v>
      </c>
      <c r="D320" s="192">
        <v>0.015</v>
      </c>
      <c r="E320" s="173"/>
      <c r="F320" s="159"/>
      <c r="G320" s="155"/>
      <c r="H320" s="91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0.002142857142857143</v>
      </c>
      <c r="N320" s="13">
        <v>0.002142857142857143</v>
      </c>
      <c r="O320" s="13">
        <v>0.002142857142857143</v>
      </c>
      <c r="P320" s="13">
        <v>0.002142857142857143</v>
      </c>
      <c r="Q320" s="13">
        <v>0.002142857142857143</v>
      </c>
      <c r="R320" s="13">
        <v>0.002142857142857143</v>
      </c>
      <c r="S320" s="13">
        <v>0.002142857142857143</v>
      </c>
      <c r="T320" s="5">
        <f t="shared" si="73"/>
        <v>0.004285714285714286</v>
      </c>
      <c r="U320" s="53"/>
      <c r="V320" s="36"/>
      <c r="W320" s="36"/>
      <c r="X320" s="36"/>
      <c r="Y320" s="36"/>
      <c r="Z320" s="36"/>
      <c r="AA320" s="36"/>
      <c r="AB320" s="37"/>
      <c r="AC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</row>
    <row r="321" spans="2:47" ht="12.75" hidden="1">
      <c r="B321" s="197" t="s">
        <v>741</v>
      </c>
      <c r="C321" s="199" t="s">
        <v>742</v>
      </c>
      <c r="D321" s="192">
        <v>0.002</v>
      </c>
      <c r="E321" s="173"/>
      <c r="F321" s="159"/>
      <c r="G321" s="155">
        <v>0.002</v>
      </c>
      <c r="H321" s="91">
        <v>0.002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5">
        <f t="shared" si="73"/>
        <v>0.002</v>
      </c>
      <c r="U321" s="53"/>
      <c r="V321" s="36"/>
      <c r="W321" s="36"/>
      <c r="X321" s="36"/>
      <c r="Y321" s="36"/>
      <c r="Z321" s="36"/>
      <c r="AA321" s="36"/>
      <c r="AB321" s="37"/>
      <c r="AC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</row>
    <row r="322" spans="2:47" ht="12.75" hidden="1">
      <c r="B322" s="197" t="s">
        <v>743</v>
      </c>
      <c r="C322" s="199" t="s">
        <v>1279</v>
      </c>
      <c r="D322" s="192">
        <v>0.014</v>
      </c>
      <c r="E322" s="173"/>
      <c r="F322" s="159"/>
      <c r="G322" s="155">
        <v>0.002</v>
      </c>
      <c r="H322" s="91">
        <v>0.002</v>
      </c>
      <c r="I322" s="13">
        <v>0</v>
      </c>
      <c r="J322" s="13">
        <v>0</v>
      </c>
      <c r="K322" s="13">
        <v>0</v>
      </c>
      <c r="L322" s="13">
        <v>0</v>
      </c>
      <c r="M322" s="13">
        <v>0.0017142857142857144</v>
      </c>
      <c r="N322" s="13">
        <v>0.0017142857142857144</v>
      </c>
      <c r="O322" s="13">
        <v>0.0017142857142857144</v>
      </c>
      <c r="P322" s="13">
        <v>0.0017142857142857144</v>
      </c>
      <c r="Q322" s="13">
        <v>0.0017142857142857144</v>
      </c>
      <c r="R322" s="13">
        <v>0.0017142857142857144</v>
      </c>
      <c r="S322" s="13">
        <v>0.0017142857142857144</v>
      </c>
      <c r="T322" s="5">
        <f t="shared" si="73"/>
        <v>0.0054285714285714284</v>
      </c>
      <c r="U322" s="53"/>
      <c r="V322" s="36"/>
      <c r="W322" s="36"/>
      <c r="X322" s="36"/>
      <c r="Y322" s="36"/>
      <c r="Z322" s="36"/>
      <c r="AA322" s="36"/>
      <c r="AB322" s="37"/>
      <c r="AC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</row>
    <row r="323" spans="2:47" ht="12.75" hidden="1">
      <c r="B323" s="197" t="s">
        <v>744</v>
      </c>
      <c r="C323" s="199" t="s">
        <v>1280</v>
      </c>
      <c r="D323" s="192">
        <v>0.026</v>
      </c>
      <c r="E323" s="173"/>
      <c r="F323" s="159"/>
      <c r="G323" s="155">
        <v>0.001</v>
      </c>
      <c r="H323" s="91">
        <v>0.001</v>
      </c>
      <c r="I323" s="13">
        <v>0</v>
      </c>
      <c r="J323" s="13">
        <v>0</v>
      </c>
      <c r="K323" s="13">
        <v>0</v>
      </c>
      <c r="L323" s="13">
        <v>0</v>
      </c>
      <c r="M323" s="13">
        <v>0.002857142857142857</v>
      </c>
      <c r="N323" s="13">
        <v>0.002857142857142857</v>
      </c>
      <c r="O323" s="13">
        <v>0.002857142857142857</v>
      </c>
      <c r="P323" s="13">
        <v>0.002857142857142857</v>
      </c>
      <c r="Q323" s="13">
        <v>0.002857142857142857</v>
      </c>
      <c r="R323" s="13">
        <v>0.002857142857142857</v>
      </c>
      <c r="S323" s="13">
        <v>0.002857142857142857</v>
      </c>
      <c r="T323" s="5">
        <f t="shared" si="73"/>
        <v>0.006714285714285714</v>
      </c>
      <c r="U323" s="53"/>
      <c r="V323" s="36"/>
      <c r="W323" s="36"/>
      <c r="X323" s="36"/>
      <c r="Y323" s="36"/>
      <c r="Z323" s="36"/>
      <c r="AA323" s="36"/>
      <c r="AB323" s="37"/>
      <c r="AC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</row>
    <row r="324" spans="2:47" ht="12.75" hidden="1">
      <c r="B324" s="197" t="s">
        <v>745</v>
      </c>
      <c r="C324" s="199" t="s">
        <v>1281</v>
      </c>
      <c r="D324" s="192">
        <v>0.019</v>
      </c>
      <c r="E324" s="173"/>
      <c r="F324" s="159"/>
      <c r="G324" s="155">
        <v>0.019</v>
      </c>
      <c r="H324" s="91">
        <v>0.001</v>
      </c>
      <c r="I324" s="13">
        <v>0</v>
      </c>
      <c r="J324" s="13">
        <v>0</v>
      </c>
      <c r="K324" s="13">
        <v>0</v>
      </c>
      <c r="L324" s="13">
        <v>0</v>
      </c>
      <c r="M324" s="13">
        <v>0.00014285714285714287</v>
      </c>
      <c r="N324" s="13">
        <v>0.00014285714285714287</v>
      </c>
      <c r="O324" s="13">
        <v>0.00014285714285714287</v>
      </c>
      <c r="P324" s="13">
        <v>0.00014285714285714287</v>
      </c>
      <c r="Q324" s="13">
        <v>0.00014285714285714287</v>
      </c>
      <c r="R324" s="13">
        <v>0.00014285714285714287</v>
      </c>
      <c r="S324" s="13">
        <v>0.00014285714285714287</v>
      </c>
      <c r="T324" s="5">
        <f t="shared" si="73"/>
        <v>0.0012857142857142859</v>
      </c>
      <c r="U324" s="53"/>
      <c r="V324" s="36"/>
      <c r="W324" s="36"/>
      <c r="X324" s="36"/>
      <c r="Y324" s="36"/>
      <c r="Z324" s="36"/>
      <c r="AA324" s="36"/>
      <c r="AB324" s="37"/>
      <c r="AC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</row>
    <row r="325" spans="2:47" ht="12.75" hidden="1">
      <c r="B325" s="197" t="s">
        <v>746</v>
      </c>
      <c r="C325" s="199" t="s">
        <v>747</v>
      </c>
      <c r="D325" s="192">
        <v>0.001</v>
      </c>
      <c r="E325" s="173"/>
      <c r="F325" s="159"/>
      <c r="G325" s="155"/>
      <c r="H325" s="91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0.00014285714285714287</v>
      </c>
      <c r="N325" s="13">
        <v>0.00014285714285714287</v>
      </c>
      <c r="O325" s="13">
        <v>0.00014285714285714287</v>
      </c>
      <c r="P325" s="13">
        <v>0.00014285714285714287</v>
      </c>
      <c r="Q325" s="13">
        <v>0.00014285714285714287</v>
      </c>
      <c r="R325" s="13">
        <v>0.00014285714285714287</v>
      </c>
      <c r="S325" s="13">
        <v>0.00014285714285714287</v>
      </c>
      <c r="T325" s="5">
        <f t="shared" si="73"/>
        <v>0.00028571428571428574</v>
      </c>
      <c r="U325" s="53"/>
      <c r="V325" s="36"/>
      <c r="W325" s="36"/>
      <c r="X325" s="36"/>
      <c r="Y325" s="36"/>
      <c r="Z325" s="36"/>
      <c r="AA325" s="36"/>
      <c r="AB325" s="37"/>
      <c r="AC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</row>
    <row r="326" spans="2:47" ht="12.75" hidden="1">
      <c r="B326" s="197" t="s">
        <v>748</v>
      </c>
      <c r="C326" s="199" t="s">
        <v>1282</v>
      </c>
      <c r="D326" s="192">
        <v>0.015</v>
      </c>
      <c r="E326" s="173"/>
      <c r="F326" s="159"/>
      <c r="G326" s="155">
        <v>0.002</v>
      </c>
      <c r="H326" s="91">
        <v>0.002</v>
      </c>
      <c r="I326" s="13">
        <v>0</v>
      </c>
      <c r="J326" s="13">
        <v>0</v>
      </c>
      <c r="K326" s="13">
        <v>0</v>
      </c>
      <c r="L326" s="13">
        <v>0</v>
      </c>
      <c r="M326" s="13">
        <v>0.0018571428571428571</v>
      </c>
      <c r="N326" s="13">
        <v>0.0018571428571428571</v>
      </c>
      <c r="O326" s="13">
        <v>0.0018571428571428571</v>
      </c>
      <c r="P326" s="13">
        <v>0.0018571428571428571</v>
      </c>
      <c r="Q326" s="13">
        <v>0.0018571428571428571</v>
      </c>
      <c r="R326" s="13">
        <v>0.0018571428571428571</v>
      </c>
      <c r="S326" s="13">
        <v>0.0018571428571428571</v>
      </c>
      <c r="T326" s="5">
        <f t="shared" si="73"/>
        <v>0.005714285714285714</v>
      </c>
      <c r="U326" s="53"/>
      <c r="V326" s="36"/>
      <c r="W326" s="36"/>
      <c r="X326" s="36"/>
      <c r="Y326" s="36"/>
      <c r="Z326" s="36"/>
      <c r="AA326" s="36"/>
      <c r="AB326" s="37"/>
      <c r="AC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</row>
    <row r="327" spans="2:47" ht="12.75" hidden="1">
      <c r="B327" s="197" t="s">
        <v>749</v>
      </c>
      <c r="C327" s="199" t="s">
        <v>1283</v>
      </c>
      <c r="D327" s="192">
        <v>0.029</v>
      </c>
      <c r="E327" s="173"/>
      <c r="F327" s="159"/>
      <c r="G327" s="155"/>
      <c r="H327" s="91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0.005571428571428572</v>
      </c>
      <c r="N327" s="13">
        <v>0.005571428571428572</v>
      </c>
      <c r="O327" s="13">
        <v>0.005571428571428572</v>
      </c>
      <c r="P327" s="13">
        <v>0.005571428571428572</v>
      </c>
      <c r="Q327" s="13">
        <v>0.005571428571428572</v>
      </c>
      <c r="R327" s="13">
        <v>0.005571428571428572</v>
      </c>
      <c r="S327" s="13">
        <v>0.005571428571428572</v>
      </c>
      <c r="T327" s="5">
        <f t="shared" si="73"/>
        <v>0.011142857142857144</v>
      </c>
      <c r="U327" s="53"/>
      <c r="V327" s="36"/>
      <c r="W327" s="36"/>
      <c r="X327" s="36"/>
      <c r="Y327" s="36"/>
      <c r="Z327" s="36"/>
      <c r="AA327" s="36"/>
      <c r="AB327" s="37"/>
      <c r="AC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</row>
    <row r="328" spans="2:47" ht="12.75" hidden="1">
      <c r="B328" s="197" t="s">
        <v>750</v>
      </c>
      <c r="C328" s="199" t="s">
        <v>1284</v>
      </c>
      <c r="D328" s="192">
        <v>0.004</v>
      </c>
      <c r="E328" s="173"/>
      <c r="F328" s="159"/>
      <c r="G328" s="155"/>
      <c r="H328" s="91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0.0005714285714285715</v>
      </c>
      <c r="N328" s="13">
        <v>0.0005714285714285715</v>
      </c>
      <c r="O328" s="13">
        <v>0.0005714285714285715</v>
      </c>
      <c r="P328" s="13">
        <v>0.0005714285714285715</v>
      </c>
      <c r="Q328" s="13">
        <v>0.0005714285714285715</v>
      </c>
      <c r="R328" s="13">
        <v>0.0005714285714285715</v>
      </c>
      <c r="S328" s="13">
        <v>0.0005714285714285715</v>
      </c>
      <c r="T328" s="5">
        <f t="shared" si="73"/>
        <v>0.001142857142857143</v>
      </c>
      <c r="U328" s="53"/>
      <c r="V328" s="36"/>
      <c r="W328" s="36"/>
      <c r="X328" s="36"/>
      <c r="Y328" s="36"/>
      <c r="Z328" s="36"/>
      <c r="AA328" s="36"/>
      <c r="AB328" s="37"/>
      <c r="AC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</row>
    <row r="329" spans="2:47" ht="12.75" hidden="1">
      <c r="B329" s="197" t="s">
        <v>751</v>
      </c>
      <c r="C329" s="199" t="s">
        <v>1285</v>
      </c>
      <c r="D329" s="192">
        <v>0.003</v>
      </c>
      <c r="E329" s="173"/>
      <c r="F329" s="159"/>
      <c r="G329" s="155">
        <v>0.001</v>
      </c>
      <c r="H329" s="91">
        <v>0.001</v>
      </c>
      <c r="I329" s="13">
        <v>0</v>
      </c>
      <c r="J329" s="13">
        <v>0</v>
      </c>
      <c r="K329" s="13">
        <v>0</v>
      </c>
      <c r="L329" s="13">
        <v>0</v>
      </c>
      <c r="M329" s="13">
        <v>0.00028571428571428574</v>
      </c>
      <c r="N329" s="13">
        <v>0.00028571428571428574</v>
      </c>
      <c r="O329" s="13">
        <v>0.00028571428571428574</v>
      </c>
      <c r="P329" s="13">
        <v>0.00028571428571428574</v>
      </c>
      <c r="Q329" s="13">
        <v>0.00028571428571428574</v>
      </c>
      <c r="R329" s="13">
        <v>0.00028571428571428574</v>
      </c>
      <c r="S329" s="13">
        <v>0.00028571428571428574</v>
      </c>
      <c r="T329" s="5">
        <f t="shared" si="73"/>
        <v>0.0015714285714285717</v>
      </c>
      <c r="U329" s="53"/>
      <c r="V329" s="36"/>
      <c r="W329" s="36"/>
      <c r="X329" s="36"/>
      <c r="Y329" s="36"/>
      <c r="Z329" s="36"/>
      <c r="AA329" s="36"/>
      <c r="AB329" s="37"/>
      <c r="AC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</row>
    <row r="330" spans="2:47" ht="12.75" hidden="1">
      <c r="B330" s="197" t="s">
        <v>753</v>
      </c>
      <c r="C330" s="199" t="s">
        <v>1286</v>
      </c>
      <c r="D330" s="194">
        <v>0.02</v>
      </c>
      <c r="E330" s="173"/>
      <c r="F330" s="159"/>
      <c r="G330" s="155">
        <v>0.011</v>
      </c>
      <c r="H330" s="91">
        <v>0.011</v>
      </c>
      <c r="I330" s="13">
        <v>0</v>
      </c>
      <c r="J330" s="13">
        <v>0</v>
      </c>
      <c r="K330" s="13">
        <v>0</v>
      </c>
      <c r="L330" s="13">
        <v>0</v>
      </c>
      <c r="M330" s="13">
        <v>0.0014285714285714288</v>
      </c>
      <c r="N330" s="13">
        <v>0.0014285714285714288</v>
      </c>
      <c r="O330" s="13">
        <v>0.0014285714285714288</v>
      </c>
      <c r="P330" s="13">
        <v>0.0014285714285714288</v>
      </c>
      <c r="Q330" s="13">
        <v>0.0014285714285714288</v>
      </c>
      <c r="R330" s="13">
        <v>0.0014285714285714288</v>
      </c>
      <c r="S330" s="13">
        <v>0.0014285714285714288</v>
      </c>
      <c r="T330" s="5">
        <f t="shared" si="73"/>
        <v>0.013857142857142856</v>
      </c>
      <c r="U330" s="53"/>
      <c r="V330" s="36"/>
      <c r="W330" s="36"/>
      <c r="X330" s="36"/>
      <c r="Y330" s="36"/>
      <c r="Z330" s="36"/>
      <c r="AA330" s="36"/>
      <c r="AB330" s="37"/>
      <c r="AC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</row>
    <row r="331" spans="2:47" ht="12.75" hidden="1">
      <c r="B331" s="197" t="s">
        <v>754</v>
      </c>
      <c r="C331" s="199" t="s">
        <v>1287</v>
      </c>
      <c r="D331" s="192">
        <v>0.001</v>
      </c>
      <c r="E331" s="173"/>
      <c r="F331" s="159"/>
      <c r="G331" s="155">
        <v>0.001</v>
      </c>
      <c r="H331" s="91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0.00014285714285714287</v>
      </c>
      <c r="N331" s="13">
        <v>0.00014285714285714287</v>
      </c>
      <c r="O331" s="13">
        <v>0.00014285714285714287</v>
      </c>
      <c r="P331" s="13">
        <v>0.00014285714285714287</v>
      </c>
      <c r="Q331" s="13">
        <v>0.00014285714285714287</v>
      </c>
      <c r="R331" s="13">
        <v>0.00014285714285714287</v>
      </c>
      <c r="S331" s="13">
        <v>0.00014285714285714287</v>
      </c>
      <c r="T331" s="5">
        <f t="shared" si="73"/>
        <v>0.00028571428571428574</v>
      </c>
      <c r="U331" s="53"/>
      <c r="V331" s="36"/>
      <c r="W331" s="36"/>
      <c r="X331" s="36"/>
      <c r="Y331" s="36"/>
      <c r="Z331" s="36"/>
      <c r="AA331" s="36"/>
      <c r="AB331" s="37"/>
      <c r="AC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</row>
    <row r="332" spans="2:47" ht="12.75" hidden="1">
      <c r="B332" s="197" t="s">
        <v>755</v>
      </c>
      <c r="C332" s="199" t="s">
        <v>1288</v>
      </c>
      <c r="D332" s="192">
        <v>0.001</v>
      </c>
      <c r="E332" s="173"/>
      <c r="F332" s="159"/>
      <c r="G332" s="155"/>
      <c r="H332" s="91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0.0005714285714285715</v>
      </c>
      <c r="N332" s="13">
        <v>0.0005714285714285715</v>
      </c>
      <c r="O332" s="13">
        <v>0.0005714285714285715</v>
      </c>
      <c r="P332" s="13">
        <v>0.0005714285714285715</v>
      </c>
      <c r="Q332" s="13">
        <v>0.0005714285714285715</v>
      </c>
      <c r="R332" s="13">
        <v>0.0005714285714285715</v>
      </c>
      <c r="S332" s="13">
        <v>0.0005714285714285715</v>
      </c>
      <c r="T332" s="5">
        <f t="shared" si="73"/>
        <v>0.001142857142857143</v>
      </c>
      <c r="U332" s="53"/>
      <c r="V332" s="36"/>
      <c r="W332" s="36"/>
      <c r="X332" s="36"/>
      <c r="Y332" s="36"/>
      <c r="Z332" s="36"/>
      <c r="AA332" s="36"/>
      <c r="AB332" s="37"/>
      <c r="AC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</row>
    <row r="333" spans="2:47" ht="12.75" hidden="1">
      <c r="B333" s="197" t="s">
        <v>756</v>
      </c>
      <c r="C333" s="199" t="s">
        <v>1289</v>
      </c>
      <c r="D333" s="192">
        <v>0.012</v>
      </c>
      <c r="E333" s="173"/>
      <c r="F333" s="159"/>
      <c r="G333" s="155">
        <v>0.002</v>
      </c>
      <c r="H333" s="91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0.0017142857142857144</v>
      </c>
      <c r="N333" s="13">
        <v>0.0017142857142857144</v>
      </c>
      <c r="O333" s="13">
        <v>0.0017142857142857144</v>
      </c>
      <c r="P333" s="13">
        <v>0.0017142857142857144</v>
      </c>
      <c r="Q333" s="13">
        <v>0.0017142857142857144</v>
      </c>
      <c r="R333" s="13">
        <v>0.0017142857142857144</v>
      </c>
      <c r="S333" s="13">
        <v>0.0017142857142857144</v>
      </c>
      <c r="T333" s="5">
        <f t="shared" si="73"/>
        <v>0.003428571428571429</v>
      </c>
      <c r="U333" s="53"/>
      <c r="V333" s="36"/>
      <c r="W333" s="36"/>
      <c r="X333" s="36"/>
      <c r="Y333" s="36"/>
      <c r="Z333" s="36"/>
      <c r="AA333" s="36"/>
      <c r="AB333" s="37"/>
      <c r="AC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</row>
    <row r="334" spans="2:47" ht="12.75" hidden="1">
      <c r="B334" s="197" t="s">
        <v>757</v>
      </c>
      <c r="C334" s="199" t="s">
        <v>1290</v>
      </c>
      <c r="D334" s="192">
        <v>0.156</v>
      </c>
      <c r="E334" s="173"/>
      <c r="F334" s="159"/>
      <c r="G334" s="155">
        <v>0.001</v>
      </c>
      <c r="H334" s="91">
        <v>0.001</v>
      </c>
      <c r="I334" s="13">
        <v>0</v>
      </c>
      <c r="J334" s="13">
        <v>0</v>
      </c>
      <c r="K334" s="13">
        <v>0</v>
      </c>
      <c r="L334" s="13">
        <v>0</v>
      </c>
      <c r="M334" s="13">
        <v>0.02214285714285714</v>
      </c>
      <c r="N334" s="13">
        <v>0.02214285714285714</v>
      </c>
      <c r="O334" s="13">
        <v>0.02214285714285714</v>
      </c>
      <c r="P334" s="13">
        <v>0.02214285714285714</v>
      </c>
      <c r="Q334" s="13">
        <v>0.02214285714285714</v>
      </c>
      <c r="R334" s="13">
        <v>0.02214285714285714</v>
      </c>
      <c r="S334" s="13">
        <v>0.02214285714285714</v>
      </c>
      <c r="T334" s="5">
        <f t="shared" si="73"/>
        <v>0.04528571428571428</v>
      </c>
      <c r="U334" s="53"/>
      <c r="V334" s="36"/>
      <c r="W334" s="36"/>
      <c r="X334" s="36"/>
      <c r="Y334" s="36"/>
      <c r="Z334" s="36"/>
      <c r="AA334" s="36"/>
      <c r="AB334" s="37"/>
      <c r="AC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</row>
    <row r="335" spans="2:47" ht="12.75" hidden="1">
      <c r="B335" s="197" t="s">
        <v>758</v>
      </c>
      <c r="C335" s="199" t="s">
        <v>1291</v>
      </c>
      <c r="D335" s="192">
        <v>0.659</v>
      </c>
      <c r="E335" s="173"/>
      <c r="F335" s="159"/>
      <c r="G335" s="155">
        <v>0.274</v>
      </c>
      <c r="H335" s="91">
        <v>0.214</v>
      </c>
      <c r="I335" s="13">
        <v>0</v>
      </c>
      <c r="J335" s="13">
        <v>0</v>
      </c>
      <c r="K335" s="13">
        <v>0</v>
      </c>
      <c r="L335" s="13">
        <v>0</v>
      </c>
      <c r="M335" s="13">
        <v>0.06385714285714286</v>
      </c>
      <c r="N335" s="13">
        <v>0.06385714285714286</v>
      </c>
      <c r="O335" s="13">
        <v>0.06385714285714286</v>
      </c>
      <c r="P335" s="13">
        <v>0.06385714285714286</v>
      </c>
      <c r="Q335" s="13">
        <v>0.06385714285714286</v>
      </c>
      <c r="R335" s="13">
        <v>0.06385714285714286</v>
      </c>
      <c r="S335" s="13">
        <v>0.06385714285714286</v>
      </c>
      <c r="T335" s="5">
        <f t="shared" si="73"/>
        <v>0.34171428571428575</v>
      </c>
      <c r="U335" s="53"/>
      <c r="V335" s="36"/>
      <c r="W335" s="36"/>
      <c r="X335" s="36"/>
      <c r="Y335" s="36"/>
      <c r="Z335" s="36"/>
      <c r="AA335" s="36"/>
      <c r="AB335" s="37"/>
      <c r="AC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</row>
    <row r="336" spans="2:47" ht="12.75" hidden="1">
      <c r="B336" s="197" t="s">
        <v>759</v>
      </c>
      <c r="C336" s="199" t="s">
        <v>1292</v>
      </c>
      <c r="D336" s="192">
        <v>0.003</v>
      </c>
      <c r="E336" s="173"/>
      <c r="F336" s="159"/>
      <c r="G336" s="155"/>
      <c r="H336" s="91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0.0015714285714285713</v>
      </c>
      <c r="N336" s="13">
        <v>0.0015714285714285713</v>
      </c>
      <c r="O336" s="13">
        <v>0.0015714285714285713</v>
      </c>
      <c r="P336" s="13">
        <v>0.0015714285714285713</v>
      </c>
      <c r="Q336" s="13">
        <v>0.0015714285714285713</v>
      </c>
      <c r="R336" s="13">
        <v>0.0015714285714285713</v>
      </c>
      <c r="S336" s="13">
        <v>0.0015714285714285713</v>
      </c>
      <c r="T336" s="5">
        <f t="shared" si="73"/>
        <v>0.0031428571428571426</v>
      </c>
      <c r="U336" s="53"/>
      <c r="V336" s="36"/>
      <c r="W336" s="36"/>
      <c r="X336" s="36"/>
      <c r="Y336" s="36"/>
      <c r="Z336" s="36"/>
      <c r="AA336" s="36"/>
      <c r="AB336" s="37"/>
      <c r="AC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</row>
    <row r="337" spans="2:47" ht="12.75" hidden="1">
      <c r="B337" s="197" t="s">
        <v>760</v>
      </c>
      <c r="C337" s="199" t="s">
        <v>1293</v>
      </c>
      <c r="D337" s="192">
        <v>0.034</v>
      </c>
      <c r="E337" s="173"/>
      <c r="F337" s="159"/>
      <c r="G337" s="155">
        <v>0.033</v>
      </c>
      <c r="H337" s="91">
        <v>0.031</v>
      </c>
      <c r="I337" s="13">
        <v>0</v>
      </c>
      <c r="J337" s="13">
        <v>0</v>
      </c>
      <c r="K337" s="13">
        <v>0</v>
      </c>
      <c r="L337" s="13">
        <v>0</v>
      </c>
      <c r="M337" s="13">
        <v>0.00042857142857142893</v>
      </c>
      <c r="N337" s="13">
        <v>0.00042857142857142893</v>
      </c>
      <c r="O337" s="13">
        <v>0.00042857142857142893</v>
      </c>
      <c r="P337" s="13">
        <v>0.00042857142857142893</v>
      </c>
      <c r="Q337" s="13">
        <v>0.00042857142857142893</v>
      </c>
      <c r="R337" s="13">
        <v>0.00042857142857142893</v>
      </c>
      <c r="S337" s="13">
        <v>0.00042857142857142893</v>
      </c>
      <c r="T337" s="5">
        <f t="shared" si="73"/>
        <v>0.03185714285714286</v>
      </c>
      <c r="U337" s="53"/>
      <c r="V337" s="36"/>
      <c r="W337" s="36"/>
      <c r="X337" s="36"/>
      <c r="Y337" s="36"/>
      <c r="Z337" s="36"/>
      <c r="AA337" s="36"/>
      <c r="AB337" s="37"/>
      <c r="AC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</row>
    <row r="338" spans="2:47" ht="12.75" hidden="1">
      <c r="B338" s="197" t="s">
        <v>761</v>
      </c>
      <c r="C338" s="199" t="s">
        <v>1294</v>
      </c>
      <c r="D338" s="192">
        <v>0.017</v>
      </c>
      <c r="E338" s="173"/>
      <c r="F338" s="159"/>
      <c r="G338" s="155">
        <v>0.008</v>
      </c>
      <c r="H338" s="91">
        <v>0.008</v>
      </c>
      <c r="I338" s="13">
        <v>0</v>
      </c>
      <c r="J338" s="13">
        <v>0</v>
      </c>
      <c r="K338" s="13">
        <v>0</v>
      </c>
      <c r="L338" s="13">
        <v>0</v>
      </c>
      <c r="M338" s="13">
        <v>0.001142857142857143</v>
      </c>
      <c r="N338" s="13">
        <v>0.001142857142857143</v>
      </c>
      <c r="O338" s="13">
        <v>0.001142857142857143</v>
      </c>
      <c r="P338" s="13">
        <v>0.001142857142857143</v>
      </c>
      <c r="Q338" s="13">
        <v>0.001142857142857143</v>
      </c>
      <c r="R338" s="13">
        <v>0.001142857142857143</v>
      </c>
      <c r="S338" s="13">
        <v>0.001142857142857143</v>
      </c>
      <c r="T338" s="5">
        <f t="shared" si="73"/>
        <v>0.010285714285714287</v>
      </c>
      <c r="U338" s="53"/>
      <c r="V338" s="36"/>
      <c r="W338" s="36"/>
      <c r="X338" s="36"/>
      <c r="Y338" s="36"/>
      <c r="Z338" s="36"/>
      <c r="AA338" s="36"/>
      <c r="AB338" s="37"/>
      <c r="AC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</row>
    <row r="339" spans="2:47" ht="12.75" hidden="1">
      <c r="B339" s="197" t="s">
        <v>762</v>
      </c>
      <c r="C339" s="199" t="s">
        <v>1295</v>
      </c>
      <c r="D339" s="192">
        <v>0.012</v>
      </c>
      <c r="E339" s="173"/>
      <c r="F339" s="159"/>
      <c r="G339" s="155">
        <v>0.002</v>
      </c>
      <c r="H339" s="91">
        <v>0.001</v>
      </c>
      <c r="I339" s="13">
        <v>0</v>
      </c>
      <c r="J339" s="13">
        <v>0</v>
      </c>
      <c r="K339" s="13">
        <v>0</v>
      </c>
      <c r="L339" s="13">
        <v>0</v>
      </c>
      <c r="M339" s="13">
        <v>0.0029999999999999996</v>
      </c>
      <c r="N339" s="13">
        <v>0.0029999999999999996</v>
      </c>
      <c r="O339" s="13">
        <v>0.0029999999999999996</v>
      </c>
      <c r="P339" s="13">
        <v>0.0029999999999999996</v>
      </c>
      <c r="Q339" s="13">
        <v>0.0029999999999999996</v>
      </c>
      <c r="R339" s="13">
        <v>0.0029999999999999996</v>
      </c>
      <c r="S339" s="13">
        <v>0.0029999999999999996</v>
      </c>
      <c r="T339" s="5">
        <f t="shared" si="73"/>
        <v>0.006999999999999999</v>
      </c>
      <c r="U339" s="53"/>
      <c r="V339" s="36"/>
      <c r="W339" s="36"/>
      <c r="X339" s="36"/>
      <c r="Y339" s="36"/>
      <c r="Z339" s="36"/>
      <c r="AA339" s="36"/>
      <c r="AB339" s="37"/>
      <c r="AC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</row>
    <row r="340" spans="2:47" ht="12.75" hidden="1">
      <c r="B340" s="197" t="s">
        <v>763</v>
      </c>
      <c r="C340" s="199" t="s">
        <v>1296</v>
      </c>
      <c r="D340" s="192">
        <v>0.012</v>
      </c>
      <c r="E340" s="173"/>
      <c r="F340" s="159"/>
      <c r="G340" s="155">
        <v>0.004</v>
      </c>
      <c r="H340" s="91">
        <v>0.001</v>
      </c>
      <c r="I340" s="13">
        <v>0</v>
      </c>
      <c r="J340" s="13">
        <v>0</v>
      </c>
      <c r="K340" s="13">
        <v>0</v>
      </c>
      <c r="L340" s="13">
        <v>0</v>
      </c>
      <c r="M340" s="13">
        <v>0.0015714285714285713</v>
      </c>
      <c r="N340" s="13">
        <v>0.0015714285714285713</v>
      </c>
      <c r="O340" s="13">
        <v>0.0015714285714285713</v>
      </c>
      <c r="P340" s="13">
        <v>0.0015714285714285713</v>
      </c>
      <c r="Q340" s="13">
        <v>0.0015714285714285713</v>
      </c>
      <c r="R340" s="13">
        <v>0.0015714285714285713</v>
      </c>
      <c r="S340" s="13">
        <v>0.0015714285714285713</v>
      </c>
      <c r="T340" s="5">
        <f t="shared" si="73"/>
        <v>0.004142857142857143</v>
      </c>
      <c r="U340" s="53"/>
      <c r="V340" s="36"/>
      <c r="W340" s="36"/>
      <c r="X340" s="36"/>
      <c r="Y340" s="36"/>
      <c r="Z340" s="36"/>
      <c r="AA340" s="36"/>
      <c r="AB340" s="37"/>
      <c r="AC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</row>
    <row r="341" spans="2:47" ht="12.75" hidden="1">
      <c r="B341" s="197" t="s">
        <v>764</v>
      </c>
      <c r="C341" s="199" t="s">
        <v>1297</v>
      </c>
      <c r="D341" s="194">
        <v>0.01</v>
      </c>
      <c r="E341" s="173"/>
      <c r="F341" s="159"/>
      <c r="G341" s="155">
        <v>0.004</v>
      </c>
      <c r="H341" s="91">
        <v>0.004</v>
      </c>
      <c r="I341" s="13">
        <v>0</v>
      </c>
      <c r="J341" s="13">
        <v>0</v>
      </c>
      <c r="K341" s="13">
        <v>0</v>
      </c>
      <c r="L341" s="13">
        <v>0</v>
      </c>
      <c r="M341" s="13">
        <v>0.0008571428571428572</v>
      </c>
      <c r="N341" s="13">
        <v>0.0008571428571428572</v>
      </c>
      <c r="O341" s="13">
        <v>0.0008571428571428572</v>
      </c>
      <c r="P341" s="13">
        <v>0.0008571428571428572</v>
      </c>
      <c r="Q341" s="13">
        <v>0.0008571428571428572</v>
      </c>
      <c r="R341" s="13">
        <v>0.0008571428571428572</v>
      </c>
      <c r="S341" s="13">
        <v>0.0008571428571428572</v>
      </c>
      <c r="T341" s="5">
        <f t="shared" si="73"/>
        <v>0.005714285714285715</v>
      </c>
      <c r="U341" s="53"/>
      <c r="V341" s="36"/>
      <c r="W341" s="36"/>
      <c r="X341" s="36"/>
      <c r="Y341" s="36"/>
      <c r="Z341" s="36"/>
      <c r="AA341" s="36"/>
      <c r="AB341" s="37"/>
      <c r="AC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</row>
    <row r="342" spans="2:47" ht="12.75" hidden="1">
      <c r="B342" s="197" t="s">
        <v>765</v>
      </c>
      <c r="C342" s="199" t="s">
        <v>1298</v>
      </c>
      <c r="D342" s="192">
        <v>0.305</v>
      </c>
      <c r="E342" s="173"/>
      <c r="F342" s="159"/>
      <c r="G342" s="155">
        <v>0.144</v>
      </c>
      <c r="H342" s="91">
        <v>0.144</v>
      </c>
      <c r="I342" s="13">
        <v>0</v>
      </c>
      <c r="J342" s="13">
        <v>0</v>
      </c>
      <c r="K342" s="13">
        <v>0</v>
      </c>
      <c r="L342" s="13">
        <v>0</v>
      </c>
      <c r="M342" s="13">
        <v>0.023</v>
      </c>
      <c r="N342" s="13">
        <v>0.023</v>
      </c>
      <c r="O342" s="13">
        <v>0.023</v>
      </c>
      <c r="P342" s="13">
        <v>0.023</v>
      </c>
      <c r="Q342" s="13">
        <v>0.023</v>
      </c>
      <c r="R342" s="13">
        <v>0.023</v>
      </c>
      <c r="S342" s="13">
        <v>0.023</v>
      </c>
      <c r="T342" s="5">
        <f t="shared" si="73"/>
        <v>0.18999999999999997</v>
      </c>
      <c r="U342" s="53"/>
      <c r="V342" s="36"/>
      <c r="W342" s="36"/>
      <c r="X342" s="36"/>
      <c r="Y342" s="36"/>
      <c r="Z342" s="36"/>
      <c r="AA342" s="36"/>
      <c r="AB342" s="37"/>
      <c r="AC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</row>
    <row r="343" spans="1:47" ht="12.75">
      <c r="A343" s="33" t="s">
        <v>1210</v>
      </c>
      <c r="B343" s="252" t="s">
        <v>1460</v>
      </c>
      <c r="C343" s="217" t="s">
        <v>873</v>
      </c>
      <c r="D343" s="192">
        <f>SUM(D344:D363)</f>
        <v>0.8410000000000002</v>
      </c>
      <c r="E343" s="171"/>
      <c r="F343" s="159"/>
      <c r="G343" s="192">
        <f>SUM(G344:G363)</f>
        <v>0.3430000000000001</v>
      </c>
      <c r="H343" s="146">
        <f aca="true" t="shared" si="74" ref="H343:AU343">SUM(H344:H363)</f>
        <v>0.31100000000000005</v>
      </c>
      <c r="I343" s="122">
        <f t="shared" si="74"/>
        <v>0</v>
      </c>
      <c r="J343" s="122">
        <f t="shared" si="74"/>
        <v>0</v>
      </c>
      <c r="K343" s="122">
        <f aca="true" t="shared" si="75" ref="K343:T343">SUM(K344:K363)</f>
        <v>0</v>
      </c>
      <c r="L343" s="122">
        <f t="shared" si="75"/>
        <v>0</v>
      </c>
      <c r="M343" s="122">
        <f t="shared" si="75"/>
        <v>0.07571428571428572</v>
      </c>
      <c r="N343" s="122">
        <f t="shared" si="75"/>
        <v>0.07571428571428572</v>
      </c>
      <c r="O343" s="122">
        <f t="shared" si="75"/>
        <v>0.07571428571428572</v>
      </c>
      <c r="P343" s="122">
        <f t="shared" si="75"/>
        <v>0.07571428571428572</v>
      </c>
      <c r="Q343" s="122">
        <f t="shared" si="75"/>
        <v>0.07571428571428572</v>
      </c>
      <c r="R343" s="122">
        <f t="shared" si="75"/>
        <v>0.07571428571428572</v>
      </c>
      <c r="S343" s="122">
        <f t="shared" si="75"/>
        <v>0.07571428571428572</v>
      </c>
      <c r="T343" s="194">
        <f t="shared" si="75"/>
        <v>0.38042857142857134</v>
      </c>
      <c r="U343" s="146"/>
      <c r="V343" s="231">
        <f t="shared" si="74"/>
        <v>0</v>
      </c>
      <c r="W343" s="231">
        <f t="shared" si="74"/>
        <v>0</v>
      </c>
      <c r="X343" s="231">
        <f t="shared" si="74"/>
        <v>0</v>
      </c>
      <c r="Y343" s="231">
        <f t="shared" si="74"/>
        <v>0</v>
      </c>
      <c r="Z343" s="231">
        <f t="shared" si="74"/>
        <v>0</v>
      </c>
      <c r="AA343" s="231">
        <f t="shared" si="74"/>
        <v>0</v>
      </c>
      <c r="AB343" s="231">
        <f t="shared" si="74"/>
        <v>0</v>
      </c>
      <c r="AC343" s="231">
        <f t="shared" si="74"/>
        <v>0</v>
      </c>
      <c r="AD343" s="88"/>
      <c r="AE343" s="231">
        <f t="shared" si="74"/>
        <v>0</v>
      </c>
      <c r="AF343" s="231">
        <f t="shared" si="74"/>
        <v>0</v>
      </c>
      <c r="AG343" s="231">
        <f t="shared" si="74"/>
        <v>0</v>
      </c>
      <c r="AH343" s="231">
        <f t="shared" si="74"/>
        <v>0</v>
      </c>
      <c r="AI343" s="231">
        <f t="shared" si="74"/>
        <v>0</v>
      </c>
      <c r="AJ343" s="231">
        <f t="shared" si="74"/>
        <v>0</v>
      </c>
      <c r="AK343" s="231">
        <f t="shared" si="74"/>
        <v>0</v>
      </c>
      <c r="AL343" s="231">
        <f t="shared" si="74"/>
        <v>0</v>
      </c>
      <c r="AM343" s="231">
        <f t="shared" si="74"/>
        <v>0</v>
      </c>
      <c r="AN343" s="231">
        <f t="shared" si="74"/>
        <v>0</v>
      </c>
      <c r="AO343" s="231">
        <f t="shared" si="74"/>
        <v>0</v>
      </c>
      <c r="AP343" s="231">
        <f t="shared" si="74"/>
        <v>0</v>
      </c>
      <c r="AQ343" s="231">
        <f t="shared" si="74"/>
        <v>0</v>
      </c>
      <c r="AR343" s="231">
        <f t="shared" si="74"/>
        <v>0</v>
      </c>
      <c r="AS343" s="231">
        <f t="shared" si="74"/>
        <v>0</v>
      </c>
      <c r="AT343" s="231">
        <f t="shared" si="74"/>
        <v>0</v>
      </c>
      <c r="AU343" s="231">
        <f t="shared" si="74"/>
        <v>0</v>
      </c>
    </row>
    <row r="344" spans="2:47" ht="12.75" hidden="1">
      <c r="B344" s="212"/>
      <c r="C344" s="217" t="s">
        <v>890</v>
      </c>
      <c r="D344" s="192"/>
      <c r="E344" s="173"/>
      <c r="F344" s="159"/>
      <c r="G344" s="155"/>
      <c r="H344" s="91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5"/>
      <c r="U344" s="53"/>
      <c r="V344" s="36"/>
      <c r="W344" s="36"/>
      <c r="X344" s="36"/>
      <c r="Y344" s="36"/>
      <c r="Z344" s="36"/>
      <c r="AA344" s="36"/>
      <c r="AB344" s="37"/>
      <c r="AC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</row>
    <row r="345" spans="2:47" ht="12.75" hidden="1">
      <c r="B345" s="213" t="s">
        <v>766</v>
      </c>
      <c r="C345" s="217" t="s">
        <v>874</v>
      </c>
      <c r="D345" s="192">
        <v>0.221</v>
      </c>
      <c r="E345" s="173"/>
      <c r="F345" s="159"/>
      <c r="G345" s="155"/>
      <c r="H345" s="91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0.040999999999999995</v>
      </c>
      <c r="N345" s="13">
        <v>0.040999999999999995</v>
      </c>
      <c r="O345" s="13">
        <v>0.040999999999999995</v>
      </c>
      <c r="P345" s="13">
        <v>0.040999999999999995</v>
      </c>
      <c r="Q345" s="13">
        <v>0.040999999999999995</v>
      </c>
      <c r="R345" s="13">
        <v>0.040999999999999995</v>
      </c>
      <c r="S345" s="13">
        <v>0.040999999999999995</v>
      </c>
      <c r="T345" s="5"/>
      <c r="U345" s="53"/>
      <c r="V345" s="36"/>
      <c r="W345" s="36"/>
      <c r="X345" s="36"/>
      <c r="Y345" s="36"/>
      <c r="Z345" s="36"/>
      <c r="AA345" s="36"/>
      <c r="AB345" s="37"/>
      <c r="AC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</row>
    <row r="346" spans="2:47" ht="12.75" hidden="1">
      <c r="B346" s="213" t="s">
        <v>767</v>
      </c>
      <c r="C346" s="217" t="s">
        <v>875</v>
      </c>
      <c r="D346" s="192">
        <v>0.006</v>
      </c>
      <c r="E346" s="173"/>
      <c r="F346" s="159"/>
      <c r="G346" s="155">
        <v>0.006</v>
      </c>
      <c r="H346" s="91">
        <v>0.006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5">
        <f aca="true" t="shared" si="76" ref="T346:T352">SUM(H346:N346)</f>
        <v>0.006</v>
      </c>
      <c r="U346" s="53"/>
      <c r="V346" s="36"/>
      <c r="W346" s="36"/>
      <c r="X346" s="36"/>
      <c r="Y346" s="36"/>
      <c r="Z346" s="36"/>
      <c r="AA346" s="36"/>
      <c r="AB346" s="37"/>
      <c r="AC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</row>
    <row r="347" spans="2:47" ht="12.75" hidden="1">
      <c r="B347" s="213" t="s">
        <v>768</v>
      </c>
      <c r="C347" s="217" t="s">
        <v>876</v>
      </c>
      <c r="D347" s="192">
        <v>0.027</v>
      </c>
      <c r="E347" s="173"/>
      <c r="F347" s="159"/>
      <c r="G347" s="155">
        <v>0.027</v>
      </c>
      <c r="H347" s="91">
        <v>0.027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5">
        <f t="shared" si="76"/>
        <v>0.027</v>
      </c>
      <c r="U347" s="53"/>
      <c r="V347" s="36"/>
      <c r="W347" s="36"/>
      <c r="X347" s="36"/>
      <c r="Y347" s="36"/>
      <c r="Z347" s="36"/>
      <c r="AA347" s="36"/>
      <c r="AB347" s="37"/>
      <c r="AC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</row>
    <row r="348" spans="2:47" ht="12.75" hidden="1">
      <c r="B348" s="213" t="s">
        <v>769</v>
      </c>
      <c r="C348" s="217" t="s">
        <v>877</v>
      </c>
      <c r="D348" s="194">
        <v>0.03</v>
      </c>
      <c r="E348" s="173"/>
      <c r="F348" s="159"/>
      <c r="G348" s="155">
        <v>0.03</v>
      </c>
      <c r="H348" s="91">
        <v>0.03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5">
        <f t="shared" si="76"/>
        <v>0.03</v>
      </c>
      <c r="U348" s="53"/>
      <c r="V348" s="36"/>
      <c r="W348" s="36"/>
      <c r="X348" s="36"/>
      <c r="Y348" s="36"/>
      <c r="Z348" s="36"/>
      <c r="AA348" s="36"/>
      <c r="AB348" s="37"/>
      <c r="AC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</row>
    <row r="349" spans="2:47" ht="12.75" hidden="1">
      <c r="B349" s="213" t="s">
        <v>770</v>
      </c>
      <c r="C349" s="217" t="s">
        <v>878</v>
      </c>
      <c r="D349" s="192">
        <v>0.044</v>
      </c>
      <c r="E349" s="173"/>
      <c r="F349" s="159"/>
      <c r="G349" s="155">
        <v>0.044</v>
      </c>
      <c r="H349" s="91">
        <v>0.032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5">
        <f t="shared" si="76"/>
        <v>0.032</v>
      </c>
      <c r="U349" s="53"/>
      <c r="V349" s="36"/>
      <c r="W349" s="36"/>
      <c r="X349" s="36"/>
      <c r="Y349" s="36"/>
      <c r="Z349" s="36"/>
      <c r="AA349" s="36"/>
      <c r="AB349" s="37"/>
      <c r="AC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</row>
    <row r="350" spans="2:47" ht="12.75" hidden="1">
      <c r="B350" s="197" t="s">
        <v>771</v>
      </c>
      <c r="C350" s="217" t="s">
        <v>879</v>
      </c>
      <c r="D350" s="192">
        <v>0.117</v>
      </c>
      <c r="E350" s="173"/>
      <c r="F350" s="159"/>
      <c r="G350" s="155">
        <v>0.117</v>
      </c>
      <c r="H350" s="91">
        <v>0.111</v>
      </c>
      <c r="I350" s="13">
        <v>0</v>
      </c>
      <c r="J350" s="13">
        <v>0</v>
      </c>
      <c r="K350" s="13">
        <v>0</v>
      </c>
      <c r="L350" s="13">
        <v>0</v>
      </c>
      <c r="M350" s="13">
        <v>-0.00028571428571428595</v>
      </c>
      <c r="N350" s="13">
        <v>-0.00028571428571428595</v>
      </c>
      <c r="O350" s="13">
        <v>-0.00028571428571428595</v>
      </c>
      <c r="P350" s="13">
        <v>-0.00028571428571428595</v>
      </c>
      <c r="Q350" s="13">
        <v>-0.00028571428571428595</v>
      </c>
      <c r="R350" s="13">
        <v>-0.00028571428571428595</v>
      </c>
      <c r="S350" s="13">
        <v>-0.00028571428571428595</v>
      </c>
      <c r="T350" s="5">
        <f t="shared" si="76"/>
        <v>0.11042857142857142</v>
      </c>
      <c r="U350" s="53"/>
      <c r="V350" s="36"/>
      <c r="W350" s="36"/>
      <c r="X350" s="36"/>
      <c r="Y350" s="36"/>
      <c r="Z350" s="36"/>
      <c r="AA350" s="36"/>
      <c r="AB350" s="37"/>
      <c r="AC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</row>
    <row r="351" spans="2:47" ht="12.75" hidden="1">
      <c r="B351" s="197" t="s">
        <v>772</v>
      </c>
      <c r="C351" s="217" t="s">
        <v>880</v>
      </c>
      <c r="D351" s="192">
        <v>0.006</v>
      </c>
      <c r="E351" s="173"/>
      <c r="F351" s="159"/>
      <c r="G351" s="155">
        <v>0.006</v>
      </c>
      <c r="H351" s="91">
        <v>0.006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5">
        <f t="shared" si="76"/>
        <v>0.006</v>
      </c>
      <c r="U351" s="53"/>
      <c r="V351" s="36"/>
      <c r="W351" s="36"/>
      <c r="X351" s="36"/>
      <c r="Y351" s="36"/>
      <c r="Z351" s="36"/>
      <c r="AA351" s="36"/>
      <c r="AB351" s="37"/>
      <c r="AC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</row>
    <row r="352" spans="2:47" ht="12.75" hidden="1">
      <c r="B352" s="213" t="s">
        <v>773</v>
      </c>
      <c r="C352" s="217" t="s">
        <v>881</v>
      </c>
      <c r="D352" s="192">
        <v>0.003</v>
      </c>
      <c r="E352" s="173"/>
      <c r="F352" s="159"/>
      <c r="G352" s="155">
        <v>0.003</v>
      </c>
      <c r="H352" s="91">
        <v>0.003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5">
        <f t="shared" si="76"/>
        <v>0.003</v>
      </c>
      <c r="U352" s="53"/>
      <c r="V352" s="36"/>
      <c r="W352" s="36"/>
      <c r="X352" s="36"/>
      <c r="Y352" s="36"/>
      <c r="Z352" s="36"/>
      <c r="AA352" s="36"/>
      <c r="AB352" s="37"/>
      <c r="AC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</row>
    <row r="353" spans="2:47" ht="12.75" hidden="1">
      <c r="B353" s="213"/>
      <c r="C353" s="217" t="s">
        <v>1554</v>
      </c>
      <c r="D353" s="192">
        <v>0.005</v>
      </c>
      <c r="E353" s="173"/>
      <c r="F353" s="159"/>
      <c r="G353" s="155">
        <v>0.005</v>
      </c>
      <c r="H353" s="91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5"/>
      <c r="U353" s="53"/>
      <c r="V353" s="36"/>
      <c r="W353" s="36"/>
      <c r="X353" s="36"/>
      <c r="Y353" s="36"/>
      <c r="Z353" s="36"/>
      <c r="AA353" s="36"/>
      <c r="AB353" s="37"/>
      <c r="AC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</row>
    <row r="354" spans="2:47" ht="12.75" hidden="1">
      <c r="B354" s="213"/>
      <c r="C354" s="217" t="s">
        <v>1553</v>
      </c>
      <c r="D354" s="192">
        <v>0.014</v>
      </c>
      <c r="E354" s="173"/>
      <c r="F354" s="159"/>
      <c r="G354" s="155"/>
      <c r="H354" s="91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5"/>
      <c r="U354" s="53"/>
      <c r="V354" s="36"/>
      <c r="W354" s="36"/>
      <c r="X354" s="36"/>
      <c r="Y354" s="36"/>
      <c r="Z354" s="36"/>
      <c r="AA354" s="36"/>
      <c r="AB354" s="37"/>
      <c r="AC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</row>
    <row r="355" spans="2:47" ht="12.75" hidden="1">
      <c r="B355" s="213"/>
      <c r="C355" s="201" t="s">
        <v>910</v>
      </c>
      <c r="D355" s="192"/>
      <c r="E355" s="173"/>
      <c r="F355" s="159"/>
      <c r="G355" s="155"/>
      <c r="H355" s="91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5">
        <f aca="true" t="shared" si="77" ref="T355:T363">SUM(H355:N355)</f>
        <v>0</v>
      </c>
      <c r="U355" s="53"/>
      <c r="V355" s="36"/>
      <c r="W355" s="36"/>
      <c r="X355" s="36"/>
      <c r="Y355" s="36"/>
      <c r="Z355" s="36"/>
      <c r="AA355" s="36"/>
      <c r="AB355" s="37"/>
      <c r="AC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</row>
    <row r="356" spans="2:47" ht="12.75" hidden="1">
      <c r="B356" s="213" t="s">
        <v>774</v>
      </c>
      <c r="C356" s="217" t="s">
        <v>882</v>
      </c>
      <c r="D356" s="194">
        <v>0.1</v>
      </c>
      <c r="E356" s="173"/>
      <c r="F356" s="159"/>
      <c r="G356" s="155">
        <v>0.069</v>
      </c>
      <c r="H356" s="91">
        <v>0.069</v>
      </c>
      <c r="I356" s="13">
        <v>0</v>
      </c>
      <c r="J356" s="13">
        <v>0</v>
      </c>
      <c r="K356" s="13">
        <v>0</v>
      </c>
      <c r="L356" s="13">
        <v>0</v>
      </c>
      <c r="M356" s="13">
        <v>0.004428571428571428</v>
      </c>
      <c r="N356" s="13">
        <v>0.004428571428571428</v>
      </c>
      <c r="O356" s="13">
        <v>0.004428571428571428</v>
      </c>
      <c r="P356" s="13">
        <v>0.004428571428571428</v>
      </c>
      <c r="Q356" s="13">
        <v>0.004428571428571428</v>
      </c>
      <c r="R356" s="13">
        <v>0.004428571428571428</v>
      </c>
      <c r="S356" s="13">
        <v>0.004428571428571428</v>
      </c>
      <c r="T356" s="5">
        <f t="shared" si="77"/>
        <v>0.07785714285714287</v>
      </c>
      <c r="U356" s="53"/>
      <c r="V356" s="36"/>
      <c r="W356" s="36"/>
      <c r="X356" s="36"/>
      <c r="Y356" s="36"/>
      <c r="Z356" s="36"/>
      <c r="AA356" s="36"/>
      <c r="AB356" s="37"/>
      <c r="AC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</row>
    <row r="357" spans="2:47" ht="12.75" hidden="1">
      <c r="B357" s="213" t="s">
        <v>775</v>
      </c>
      <c r="C357" s="217" t="s">
        <v>883</v>
      </c>
      <c r="D357" s="192">
        <v>0.022</v>
      </c>
      <c r="E357" s="173"/>
      <c r="F357" s="159"/>
      <c r="G357" s="155">
        <v>0.02</v>
      </c>
      <c r="H357" s="91">
        <v>0.018</v>
      </c>
      <c r="I357" s="13">
        <v>0</v>
      </c>
      <c r="J357" s="13">
        <v>0</v>
      </c>
      <c r="K357" s="13">
        <v>0</v>
      </c>
      <c r="L357" s="13">
        <v>0</v>
      </c>
      <c r="M357" s="13">
        <v>0.0005714285714285715</v>
      </c>
      <c r="N357" s="13">
        <v>0.0005714285714285715</v>
      </c>
      <c r="O357" s="13">
        <v>0.0005714285714285715</v>
      </c>
      <c r="P357" s="13">
        <v>0.0005714285714285715</v>
      </c>
      <c r="Q357" s="13">
        <v>0.0005714285714285715</v>
      </c>
      <c r="R357" s="13">
        <v>0.0005714285714285715</v>
      </c>
      <c r="S357" s="13">
        <v>0.0005714285714285715</v>
      </c>
      <c r="T357" s="5">
        <f t="shared" si="77"/>
        <v>0.01914285714285714</v>
      </c>
      <c r="U357" s="53"/>
      <c r="V357" s="36"/>
      <c r="W357" s="36"/>
      <c r="X357" s="36"/>
      <c r="Y357" s="36"/>
      <c r="Z357" s="36"/>
      <c r="AA357" s="36"/>
      <c r="AB357" s="37"/>
      <c r="AC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</row>
    <row r="358" spans="2:47" ht="12.75" hidden="1">
      <c r="B358" s="213" t="s">
        <v>776</v>
      </c>
      <c r="C358" s="217" t="s">
        <v>884</v>
      </c>
      <c r="D358" s="192">
        <v>0.015</v>
      </c>
      <c r="E358" s="173"/>
      <c r="F358" s="159"/>
      <c r="G358" s="155">
        <v>0.006</v>
      </c>
      <c r="H358" s="91">
        <v>0.006</v>
      </c>
      <c r="I358" s="13">
        <v>0</v>
      </c>
      <c r="J358" s="13">
        <v>0</v>
      </c>
      <c r="K358" s="13">
        <v>0</v>
      </c>
      <c r="L358" s="13">
        <v>0</v>
      </c>
      <c r="M358" s="13">
        <v>0.0012857142857142856</v>
      </c>
      <c r="N358" s="13">
        <v>0.0012857142857142856</v>
      </c>
      <c r="O358" s="13">
        <v>0.0012857142857142856</v>
      </c>
      <c r="P358" s="13">
        <v>0.0012857142857142856</v>
      </c>
      <c r="Q358" s="13">
        <v>0.0012857142857142856</v>
      </c>
      <c r="R358" s="13">
        <v>0.0012857142857142856</v>
      </c>
      <c r="S358" s="13">
        <v>0.0012857142857142856</v>
      </c>
      <c r="T358" s="5">
        <f t="shared" si="77"/>
        <v>0.008571428571428572</v>
      </c>
      <c r="U358" s="53"/>
      <c r="V358" s="36"/>
      <c r="W358" s="36"/>
      <c r="X358" s="36"/>
      <c r="Y358" s="36"/>
      <c r="Z358" s="36"/>
      <c r="AA358" s="36"/>
      <c r="AB358" s="37"/>
      <c r="AC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</row>
    <row r="359" spans="2:47" ht="12.75" hidden="1">
      <c r="B359" s="213" t="s">
        <v>777</v>
      </c>
      <c r="C359" s="217" t="s">
        <v>885</v>
      </c>
      <c r="D359" s="192">
        <v>0.027</v>
      </c>
      <c r="E359" s="173"/>
      <c r="F359" s="159"/>
      <c r="G359" s="155">
        <v>0.002</v>
      </c>
      <c r="H359" s="91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0.0025714285714285713</v>
      </c>
      <c r="N359" s="13">
        <v>0.0025714285714285713</v>
      </c>
      <c r="O359" s="13">
        <v>0.0025714285714285713</v>
      </c>
      <c r="P359" s="13">
        <v>0.0025714285714285713</v>
      </c>
      <c r="Q359" s="13">
        <v>0.0025714285714285713</v>
      </c>
      <c r="R359" s="13">
        <v>0.0025714285714285713</v>
      </c>
      <c r="S359" s="13">
        <v>0.0025714285714285713</v>
      </c>
      <c r="T359" s="5">
        <f t="shared" si="77"/>
        <v>0.005142857142857143</v>
      </c>
      <c r="U359" s="53"/>
      <c r="V359" s="36"/>
      <c r="W359" s="36"/>
      <c r="X359" s="36"/>
      <c r="Y359" s="36"/>
      <c r="Z359" s="36"/>
      <c r="AA359" s="36"/>
      <c r="AB359" s="37"/>
      <c r="AC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</row>
    <row r="360" spans="2:47" ht="12.75" hidden="1">
      <c r="B360" s="213" t="s">
        <v>778</v>
      </c>
      <c r="C360" s="218" t="s">
        <v>886</v>
      </c>
      <c r="D360" s="192">
        <v>0.054</v>
      </c>
      <c r="E360" s="173"/>
      <c r="F360" s="159"/>
      <c r="G360" s="155">
        <v>0.002</v>
      </c>
      <c r="H360" s="91">
        <v>0.001</v>
      </c>
      <c r="I360" s="13">
        <v>0</v>
      </c>
      <c r="J360" s="13">
        <v>0</v>
      </c>
      <c r="K360" s="13">
        <v>0</v>
      </c>
      <c r="L360" s="13">
        <v>0</v>
      </c>
      <c r="M360" s="13">
        <v>0.007571428571428571</v>
      </c>
      <c r="N360" s="13">
        <v>0.007571428571428571</v>
      </c>
      <c r="O360" s="13">
        <v>0.007571428571428571</v>
      </c>
      <c r="P360" s="13">
        <v>0.007571428571428571</v>
      </c>
      <c r="Q360" s="13">
        <v>0.007571428571428571</v>
      </c>
      <c r="R360" s="13">
        <v>0.007571428571428571</v>
      </c>
      <c r="S360" s="13">
        <v>0.007571428571428571</v>
      </c>
      <c r="T360" s="5">
        <f t="shared" si="77"/>
        <v>0.01614285714285714</v>
      </c>
      <c r="U360" s="53"/>
      <c r="V360" s="36"/>
      <c r="W360" s="36"/>
      <c r="X360" s="36"/>
      <c r="Y360" s="36"/>
      <c r="Z360" s="36"/>
      <c r="AA360" s="36"/>
      <c r="AB360" s="37"/>
      <c r="AC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</row>
    <row r="361" spans="2:47" ht="12.75" hidden="1">
      <c r="B361" s="197" t="s">
        <v>779</v>
      </c>
      <c r="C361" s="217" t="s">
        <v>887</v>
      </c>
      <c r="D361" s="192">
        <v>0.066</v>
      </c>
      <c r="E361" s="173"/>
      <c r="F361" s="159"/>
      <c r="G361" s="155">
        <v>0.005</v>
      </c>
      <c r="H361" s="91">
        <v>0.002</v>
      </c>
      <c r="I361" s="13">
        <v>0</v>
      </c>
      <c r="J361" s="13">
        <v>0</v>
      </c>
      <c r="K361" s="13">
        <v>0</v>
      </c>
      <c r="L361" s="13">
        <v>0</v>
      </c>
      <c r="M361" s="13">
        <v>0.009142857142857144</v>
      </c>
      <c r="N361" s="13">
        <v>0.009142857142857144</v>
      </c>
      <c r="O361" s="13">
        <v>0.009142857142857144</v>
      </c>
      <c r="P361" s="13">
        <v>0.009142857142857144</v>
      </c>
      <c r="Q361" s="13">
        <v>0.009142857142857144</v>
      </c>
      <c r="R361" s="13">
        <v>0.009142857142857144</v>
      </c>
      <c r="S361" s="13">
        <v>0.009142857142857144</v>
      </c>
      <c r="T361" s="5">
        <f t="shared" si="77"/>
        <v>0.02028571428571429</v>
      </c>
      <c r="U361" s="53"/>
      <c r="V361" s="36"/>
      <c r="W361" s="36"/>
      <c r="X361" s="36"/>
      <c r="Y361" s="36"/>
      <c r="Z361" s="36"/>
      <c r="AA361" s="36"/>
      <c r="AB361" s="37"/>
      <c r="AC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</row>
    <row r="362" spans="2:47" ht="12.75" hidden="1">
      <c r="B362" s="214" t="s">
        <v>780</v>
      </c>
      <c r="C362" s="217" t="s">
        <v>888</v>
      </c>
      <c r="D362" s="192">
        <v>0.053</v>
      </c>
      <c r="E362" s="173"/>
      <c r="F362" s="159"/>
      <c r="G362" s="155">
        <v>0.001</v>
      </c>
      <c r="H362" s="91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0.005</v>
      </c>
      <c r="N362" s="13">
        <v>0.005</v>
      </c>
      <c r="O362" s="13">
        <v>0.005</v>
      </c>
      <c r="P362" s="13">
        <v>0.005</v>
      </c>
      <c r="Q362" s="13">
        <v>0.005</v>
      </c>
      <c r="R362" s="13">
        <v>0.005</v>
      </c>
      <c r="S362" s="13">
        <v>0.005</v>
      </c>
      <c r="T362" s="5">
        <f t="shared" si="77"/>
        <v>0.01</v>
      </c>
      <c r="U362" s="53"/>
      <c r="V362" s="36"/>
      <c r="W362" s="36"/>
      <c r="X362" s="36"/>
      <c r="Y362" s="36"/>
      <c r="Z362" s="36"/>
      <c r="AA362" s="36"/>
      <c r="AB362" s="37"/>
      <c r="AC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</row>
    <row r="363" spans="2:47" ht="12.75" hidden="1">
      <c r="B363" s="197" t="s">
        <v>781</v>
      </c>
      <c r="C363" s="217" t="s">
        <v>889</v>
      </c>
      <c r="D363" s="192">
        <v>0.031</v>
      </c>
      <c r="E363" s="173"/>
      <c r="F363" s="159"/>
      <c r="G363" s="155"/>
      <c r="H363" s="91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0.004428571428571428</v>
      </c>
      <c r="N363" s="13">
        <v>0.004428571428571428</v>
      </c>
      <c r="O363" s="13">
        <v>0.004428571428571428</v>
      </c>
      <c r="P363" s="13">
        <v>0.004428571428571428</v>
      </c>
      <c r="Q363" s="13">
        <v>0.004428571428571428</v>
      </c>
      <c r="R363" s="13">
        <v>0.004428571428571428</v>
      </c>
      <c r="S363" s="13">
        <v>0.004428571428571428</v>
      </c>
      <c r="T363" s="5">
        <f t="shared" si="77"/>
        <v>0.008857142857142857</v>
      </c>
      <c r="U363" s="53"/>
      <c r="V363" s="36"/>
      <c r="W363" s="36"/>
      <c r="X363" s="36"/>
      <c r="Y363" s="36"/>
      <c r="Z363" s="36"/>
      <c r="AA363" s="36"/>
      <c r="AB363" s="37"/>
      <c r="AC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</row>
    <row r="364" spans="1:47" ht="12.75">
      <c r="A364" s="33" t="s">
        <v>1203</v>
      </c>
      <c r="B364" s="252" t="s">
        <v>1460</v>
      </c>
      <c r="C364" s="217" t="s">
        <v>1462</v>
      </c>
      <c r="D364" s="192">
        <f>SUM(D365:D411)</f>
        <v>0.6190000000000001</v>
      </c>
      <c r="E364" s="171"/>
      <c r="F364" s="159"/>
      <c r="G364" s="194">
        <f>SUM(G365:G411)</f>
        <v>0.29700000000000004</v>
      </c>
      <c r="H364" s="146">
        <f aca="true" t="shared" si="78" ref="H364:AU364">SUM(H365:H411)</f>
        <v>0.279</v>
      </c>
      <c r="I364" s="122">
        <f t="shared" si="78"/>
        <v>0</v>
      </c>
      <c r="J364" s="88">
        <f t="shared" si="78"/>
        <v>0</v>
      </c>
      <c r="K364" s="88">
        <f aca="true" t="shared" si="79" ref="K364:T364">SUM(K365:K411)</f>
        <v>0</v>
      </c>
      <c r="L364" s="88">
        <f t="shared" si="79"/>
        <v>0</v>
      </c>
      <c r="M364" s="88">
        <f t="shared" si="79"/>
        <v>0.05657142857142858</v>
      </c>
      <c r="N364" s="88">
        <f t="shared" si="79"/>
        <v>0.05657142857142858</v>
      </c>
      <c r="O364" s="88">
        <f t="shared" si="79"/>
        <v>0.05657142857142858</v>
      </c>
      <c r="P364" s="88">
        <f t="shared" si="79"/>
        <v>0.05657142857142858</v>
      </c>
      <c r="Q364" s="88">
        <f t="shared" si="79"/>
        <v>0.05657142857142858</v>
      </c>
      <c r="R364" s="88">
        <f t="shared" si="79"/>
        <v>0.05657142857142858</v>
      </c>
      <c r="S364" s="88">
        <f t="shared" si="79"/>
        <v>0.05657142857142858</v>
      </c>
      <c r="T364" s="194">
        <f t="shared" si="79"/>
        <v>0.3921428571428572</v>
      </c>
      <c r="U364" s="146"/>
      <c r="V364" s="231">
        <f t="shared" si="78"/>
        <v>0</v>
      </c>
      <c r="W364" s="231">
        <f t="shared" si="78"/>
        <v>0</v>
      </c>
      <c r="X364" s="231">
        <f t="shared" si="78"/>
        <v>0</v>
      </c>
      <c r="Y364" s="231">
        <f t="shared" si="78"/>
        <v>0</v>
      </c>
      <c r="Z364" s="231">
        <f t="shared" si="78"/>
        <v>0</v>
      </c>
      <c r="AA364" s="231">
        <f t="shared" si="78"/>
        <v>0</v>
      </c>
      <c r="AB364" s="231">
        <f t="shared" si="78"/>
        <v>0</v>
      </c>
      <c r="AC364" s="231">
        <f t="shared" si="78"/>
        <v>0</v>
      </c>
      <c r="AD364" s="88"/>
      <c r="AE364" s="231">
        <f t="shared" si="78"/>
        <v>0</v>
      </c>
      <c r="AF364" s="231">
        <f t="shared" si="78"/>
        <v>0</v>
      </c>
      <c r="AG364" s="231">
        <f t="shared" si="78"/>
        <v>0</v>
      </c>
      <c r="AH364" s="231">
        <f t="shared" si="78"/>
        <v>0</v>
      </c>
      <c r="AI364" s="231">
        <f t="shared" si="78"/>
        <v>0</v>
      </c>
      <c r="AJ364" s="231">
        <f t="shared" si="78"/>
        <v>0</v>
      </c>
      <c r="AK364" s="231">
        <f t="shared" si="78"/>
        <v>0</v>
      </c>
      <c r="AL364" s="231">
        <f t="shared" si="78"/>
        <v>0</v>
      </c>
      <c r="AM364" s="231">
        <f t="shared" si="78"/>
        <v>0</v>
      </c>
      <c r="AN364" s="231">
        <f t="shared" si="78"/>
        <v>0</v>
      </c>
      <c r="AO364" s="231">
        <f t="shared" si="78"/>
        <v>0</v>
      </c>
      <c r="AP364" s="231">
        <f t="shared" si="78"/>
        <v>0</v>
      </c>
      <c r="AQ364" s="231">
        <f t="shared" si="78"/>
        <v>0</v>
      </c>
      <c r="AR364" s="231">
        <f t="shared" si="78"/>
        <v>0</v>
      </c>
      <c r="AS364" s="231">
        <f t="shared" si="78"/>
        <v>0</v>
      </c>
      <c r="AT364" s="231">
        <f t="shared" si="78"/>
        <v>0</v>
      </c>
      <c r="AU364" s="231">
        <f t="shared" si="78"/>
        <v>0</v>
      </c>
    </row>
    <row r="365" spans="2:47" ht="12.75" hidden="1">
      <c r="B365" s="211"/>
      <c r="C365" s="201" t="s">
        <v>891</v>
      </c>
      <c r="D365" s="192"/>
      <c r="E365" s="173"/>
      <c r="F365" s="159"/>
      <c r="G365" s="155"/>
      <c r="H365" s="91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8"/>
      <c r="U365" s="53"/>
      <c r="V365" s="36"/>
      <c r="W365" s="36"/>
      <c r="X365" s="36"/>
      <c r="Y365" s="36"/>
      <c r="Z365" s="36"/>
      <c r="AA365" s="36"/>
      <c r="AB365" s="37"/>
      <c r="AC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</row>
    <row r="366" spans="2:47" ht="12.75" hidden="1">
      <c r="B366" s="215" t="s">
        <v>782</v>
      </c>
      <c r="C366" s="201" t="s">
        <v>894</v>
      </c>
      <c r="D366" s="192">
        <v>0</v>
      </c>
      <c r="E366" s="173"/>
      <c r="F366" s="159"/>
      <c r="G366" s="155"/>
      <c r="H366" s="91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5">
        <f aca="true" t="shared" si="80" ref="T366:T390">SUM(H366:N366)</f>
        <v>0</v>
      </c>
      <c r="U366" s="53"/>
      <c r="V366" s="36"/>
      <c r="W366" s="36"/>
      <c r="X366" s="36"/>
      <c r="Y366" s="36"/>
      <c r="Z366" s="36"/>
      <c r="AA366" s="36"/>
      <c r="AB366" s="37"/>
      <c r="AC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</row>
    <row r="367" spans="2:47" ht="12.75" hidden="1">
      <c r="B367" s="215" t="s">
        <v>783</v>
      </c>
      <c r="C367" s="201" t="s">
        <v>895</v>
      </c>
      <c r="D367" s="192">
        <v>0.002</v>
      </c>
      <c r="E367" s="173"/>
      <c r="F367" s="159"/>
      <c r="G367" s="155">
        <v>0.002</v>
      </c>
      <c r="H367" s="91">
        <v>0.002</v>
      </c>
      <c r="I367" s="13">
        <v>0</v>
      </c>
      <c r="J367" s="13">
        <v>0</v>
      </c>
      <c r="K367" s="13">
        <v>0</v>
      </c>
      <c r="L367" s="13">
        <v>0</v>
      </c>
      <c r="M367" s="13">
        <v>0.00014285714285714287</v>
      </c>
      <c r="N367" s="13">
        <v>0.00014285714285714287</v>
      </c>
      <c r="O367" s="13">
        <v>0.00014285714285714287</v>
      </c>
      <c r="P367" s="13">
        <v>0.00014285714285714287</v>
      </c>
      <c r="Q367" s="13">
        <v>0.00014285714285714287</v>
      </c>
      <c r="R367" s="13">
        <v>0.00014285714285714287</v>
      </c>
      <c r="S367" s="13">
        <v>0.00014285714285714287</v>
      </c>
      <c r="T367" s="5">
        <f t="shared" si="80"/>
        <v>0.002285714285714286</v>
      </c>
      <c r="U367" s="53"/>
      <c r="V367" s="36"/>
      <c r="W367" s="36"/>
      <c r="X367" s="36"/>
      <c r="Y367" s="36"/>
      <c r="Z367" s="36"/>
      <c r="AA367" s="36"/>
      <c r="AB367" s="37"/>
      <c r="AC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</row>
    <row r="368" spans="2:47" ht="12.75" hidden="1">
      <c r="B368" s="215" t="s">
        <v>784</v>
      </c>
      <c r="C368" s="201" t="s">
        <v>896</v>
      </c>
      <c r="D368" s="192">
        <v>0.004</v>
      </c>
      <c r="E368" s="173"/>
      <c r="F368" s="159"/>
      <c r="G368" s="155">
        <v>0.004</v>
      </c>
      <c r="H368" s="91">
        <v>0.003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5">
        <f t="shared" si="80"/>
        <v>0.003</v>
      </c>
      <c r="U368" s="53"/>
      <c r="V368" s="36"/>
      <c r="W368" s="36"/>
      <c r="X368" s="36"/>
      <c r="Y368" s="36"/>
      <c r="Z368" s="36"/>
      <c r="AA368" s="36"/>
      <c r="AB368" s="37"/>
      <c r="AC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</row>
    <row r="369" spans="2:47" ht="12.75" hidden="1">
      <c r="B369" s="215"/>
      <c r="C369" s="201" t="s">
        <v>892</v>
      </c>
      <c r="D369" s="192"/>
      <c r="E369" s="173"/>
      <c r="F369" s="159"/>
      <c r="G369" s="155"/>
      <c r="H369" s="91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5">
        <f t="shared" si="80"/>
        <v>0</v>
      </c>
      <c r="U369" s="53"/>
      <c r="V369" s="36"/>
      <c r="W369" s="36"/>
      <c r="X369" s="36"/>
      <c r="Y369" s="36"/>
      <c r="Z369" s="36"/>
      <c r="AA369" s="36"/>
      <c r="AB369" s="37"/>
      <c r="AC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</row>
    <row r="370" spans="2:47" ht="12.75" hidden="1">
      <c r="B370" s="215" t="s">
        <v>785</v>
      </c>
      <c r="C370" s="201" t="s">
        <v>897</v>
      </c>
      <c r="D370" s="192">
        <v>0.002</v>
      </c>
      <c r="E370" s="173"/>
      <c r="F370" s="159"/>
      <c r="G370" s="155">
        <v>0.002</v>
      </c>
      <c r="H370" s="91">
        <v>0.001</v>
      </c>
      <c r="I370" s="13">
        <v>0</v>
      </c>
      <c r="J370" s="13">
        <v>0</v>
      </c>
      <c r="K370" s="13">
        <v>0</v>
      </c>
      <c r="L370" s="13">
        <v>0</v>
      </c>
      <c r="M370" s="13">
        <v>0.00014285714285714287</v>
      </c>
      <c r="N370" s="13">
        <v>0.00014285714285714287</v>
      </c>
      <c r="O370" s="13">
        <v>0.00014285714285714287</v>
      </c>
      <c r="P370" s="13">
        <v>0.00014285714285714287</v>
      </c>
      <c r="Q370" s="13">
        <v>0.00014285714285714287</v>
      </c>
      <c r="R370" s="13">
        <v>0.00014285714285714287</v>
      </c>
      <c r="S370" s="13">
        <v>0.00014285714285714287</v>
      </c>
      <c r="T370" s="5">
        <f t="shared" si="80"/>
        <v>0.0012857142857142859</v>
      </c>
      <c r="U370" s="53"/>
      <c r="V370" s="36"/>
      <c r="W370" s="36"/>
      <c r="X370" s="36"/>
      <c r="Y370" s="36"/>
      <c r="Z370" s="36"/>
      <c r="AA370" s="36"/>
      <c r="AB370" s="37"/>
      <c r="AC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</row>
    <row r="371" spans="2:47" ht="12.75" hidden="1">
      <c r="B371" s="215" t="s">
        <v>1155</v>
      </c>
      <c r="C371" s="201" t="s">
        <v>1154</v>
      </c>
      <c r="D371" s="192">
        <v>0.002</v>
      </c>
      <c r="E371" s="173"/>
      <c r="F371" s="159"/>
      <c r="G371" s="155">
        <v>0.002</v>
      </c>
      <c r="H371" s="91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5"/>
      <c r="U371" s="53"/>
      <c r="V371" s="36"/>
      <c r="W371" s="36"/>
      <c r="X371" s="36"/>
      <c r="Y371" s="36"/>
      <c r="Z371" s="36"/>
      <c r="AA371" s="36"/>
      <c r="AB371" s="37"/>
      <c r="AC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</row>
    <row r="372" spans="2:47" ht="12.75" hidden="1">
      <c r="B372" s="215" t="s">
        <v>786</v>
      </c>
      <c r="C372" s="201" t="s">
        <v>898</v>
      </c>
      <c r="D372" s="192">
        <v>0.019</v>
      </c>
      <c r="E372" s="173"/>
      <c r="F372" s="159"/>
      <c r="G372" s="155">
        <v>0.019</v>
      </c>
      <c r="H372" s="91">
        <v>0.018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5">
        <f t="shared" si="80"/>
        <v>0.018</v>
      </c>
      <c r="U372" s="53"/>
      <c r="V372" s="36"/>
      <c r="W372" s="36"/>
      <c r="X372" s="36"/>
      <c r="Y372" s="36"/>
      <c r="Z372" s="36"/>
      <c r="AA372" s="36"/>
      <c r="AB372" s="37"/>
      <c r="AC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</row>
    <row r="373" spans="2:47" ht="12.75" hidden="1">
      <c r="B373" s="215" t="s">
        <v>1157</v>
      </c>
      <c r="C373" s="201" t="s">
        <v>1156</v>
      </c>
      <c r="D373" s="192">
        <v>0.001</v>
      </c>
      <c r="E373" s="173"/>
      <c r="F373" s="159"/>
      <c r="G373" s="155">
        <v>0.001</v>
      </c>
      <c r="H373" s="91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5"/>
      <c r="U373" s="53"/>
      <c r="V373" s="36"/>
      <c r="W373" s="36"/>
      <c r="X373" s="36"/>
      <c r="Y373" s="36"/>
      <c r="Z373" s="36"/>
      <c r="AA373" s="36"/>
      <c r="AB373" s="37"/>
      <c r="AC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</row>
    <row r="374" spans="2:47" ht="12.75" hidden="1">
      <c r="B374" s="215" t="s">
        <v>787</v>
      </c>
      <c r="C374" s="201" t="s">
        <v>899</v>
      </c>
      <c r="D374" s="192">
        <v>0.022</v>
      </c>
      <c r="E374" s="173"/>
      <c r="F374" s="159"/>
      <c r="G374" s="155"/>
      <c r="H374" s="91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0.0031428571428571426</v>
      </c>
      <c r="N374" s="13">
        <v>0.0031428571428571426</v>
      </c>
      <c r="O374" s="13">
        <v>0.0031428571428571426</v>
      </c>
      <c r="P374" s="13">
        <v>0.0031428571428571426</v>
      </c>
      <c r="Q374" s="13">
        <v>0.0031428571428571426</v>
      </c>
      <c r="R374" s="13">
        <v>0.0031428571428571426</v>
      </c>
      <c r="S374" s="13">
        <v>0.0031428571428571426</v>
      </c>
      <c r="T374" s="5">
        <f t="shared" si="80"/>
        <v>0.006285714285714285</v>
      </c>
      <c r="U374" s="53"/>
      <c r="V374" s="36"/>
      <c r="W374" s="36"/>
      <c r="X374" s="36"/>
      <c r="Y374" s="36"/>
      <c r="Z374" s="36"/>
      <c r="AA374" s="36"/>
      <c r="AB374" s="37"/>
      <c r="AC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</row>
    <row r="375" spans="2:47" ht="12.75" hidden="1">
      <c r="B375" s="215"/>
      <c r="C375" s="201" t="s">
        <v>893</v>
      </c>
      <c r="D375" s="192"/>
      <c r="E375" s="173"/>
      <c r="F375" s="159"/>
      <c r="G375" s="155"/>
      <c r="H375" s="91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5">
        <f t="shared" si="80"/>
        <v>0</v>
      </c>
      <c r="U375" s="53"/>
      <c r="V375" s="36"/>
      <c r="W375" s="36"/>
      <c r="X375" s="36"/>
      <c r="Y375" s="36"/>
      <c r="Z375" s="36"/>
      <c r="AA375" s="36"/>
      <c r="AB375" s="37"/>
      <c r="AC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</row>
    <row r="376" spans="2:47" ht="12.75" hidden="1">
      <c r="B376" s="215" t="s">
        <v>788</v>
      </c>
      <c r="C376" s="201" t="s">
        <v>900</v>
      </c>
      <c r="D376" s="194">
        <v>0.065</v>
      </c>
      <c r="E376" s="173"/>
      <c r="F376" s="159"/>
      <c r="G376" s="155">
        <v>0.065</v>
      </c>
      <c r="H376" s="91">
        <v>0.065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5">
        <f t="shared" si="80"/>
        <v>0.065</v>
      </c>
      <c r="U376" s="53"/>
      <c r="V376" s="36"/>
      <c r="W376" s="36"/>
      <c r="X376" s="36"/>
      <c r="Y376" s="36"/>
      <c r="Z376" s="36"/>
      <c r="AA376" s="36"/>
      <c r="AB376" s="37"/>
      <c r="AC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</row>
    <row r="377" spans="2:47" ht="12.75" hidden="1">
      <c r="B377" s="215" t="s">
        <v>789</v>
      </c>
      <c r="C377" s="201" t="s">
        <v>901</v>
      </c>
      <c r="D377" s="192">
        <v>0.001</v>
      </c>
      <c r="E377" s="173"/>
      <c r="F377" s="159"/>
      <c r="G377" s="155"/>
      <c r="H377" s="91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0.00014285714285714287</v>
      </c>
      <c r="N377" s="13">
        <v>0.00014285714285714287</v>
      </c>
      <c r="O377" s="13">
        <v>0.00014285714285714287</v>
      </c>
      <c r="P377" s="13">
        <v>0.00014285714285714287</v>
      </c>
      <c r="Q377" s="13">
        <v>0.00014285714285714287</v>
      </c>
      <c r="R377" s="13">
        <v>0.00014285714285714287</v>
      </c>
      <c r="S377" s="13">
        <v>0.00014285714285714287</v>
      </c>
      <c r="T377" s="5">
        <f t="shared" si="80"/>
        <v>0.00028571428571428574</v>
      </c>
      <c r="U377" s="53"/>
      <c r="V377" s="36"/>
      <c r="W377" s="36"/>
      <c r="X377" s="36"/>
      <c r="Y377" s="36"/>
      <c r="Z377" s="36"/>
      <c r="AA377" s="36"/>
      <c r="AB377" s="37"/>
      <c r="AC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</row>
    <row r="378" spans="2:47" ht="12.75" hidden="1">
      <c r="B378" s="215" t="s">
        <v>790</v>
      </c>
      <c r="C378" s="199" t="s">
        <v>1043</v>
      </c>
      <c r="D378" s="192">
        <v>0.022</v>
      </c>
      <c r="E378" s="173"/>
      <c r="F378" s="159"/>
      <c r="G378" s="155"/>
      <c r="H378" s="91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0.0031428571428571426</v>
      </c>
      <c r="N378" s="13">
        <v>0.0031428571428571426</v>
      </c>
      <c r="O378" s="13">
        <v>0.0031428571428571426</v>
      </c>
      <c r="P378" s="13">
        <v>0.0031428571428571426</v>
      </c>
      <c r="Q378" s="13">
        <v>0.0031428571428571426</v>
      </c>
      <c r="R378" s="13">
        <v>0.0031428571428571426</v>
      </c>
      <c r="S378" s="13">
        <v>0.0031428571428571426</v>
      </c>
      <c r="T378" s="5">
        <f t="shared" si="80"/>
        <v>0.006285714285714285</v>
      </c>
      <c r="U378" s="53"/>
      <c r="V378" s="36"/>
      <c r="W378" s="36"/>
      <c r="X378" s="36"/>
      <c r="Y378" s="36"/>
      <c r="Z378" s="36"/>
      <c r="AA378" s="36"/>
      <c r="AB378" s="37"/>
      <c r="AC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</row>
    <row r="379" spans="2:47" ht="12.75" hidden="1">
      <c r="B379" s="215"/>
      <c r="C379" s="199" t="s">
        <v>1158</v>
      </c>
      <c r="D379" s="192">
        <v>0.002</v>
      </c>
      <c r="E379" s="173"/>
      <c r="F379" s="159"/>
      <c r="G379" s="155">
        <v>0.002</v>
      </c>
      <c r="H379" s="91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5"/>
      <c r="U379" s="53"/>
      <c r="V379" s="36"/>
      <c r="W379" s="36"/>
      <c r="X379" s="36"/>
      <c r="Y379" s="36"/>
      <c r="Z379" s="36"/>
      <c r="AA379" s="36"/>
      <c r="AB379" s="37"/>
      <c r="AC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</row>
    <row r="380" spans="2:47" ht="12.75" hidden="1">
      <c r="B380" s="215" t="s">
        <v>791</v>
      </c>
      <c r="C380" s="199" t="s">
        <v>1044</v>
      </c>
      <c r="D380" s="192">
        <v>0.002</v>
      </c>
      <c r="E380" s="173"/>
      <c r="F380" s="159"/>
      <c r="G380" s="155"/>
      <c r="H380" s="91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0.0005714285714285715</v>
      </c>
      <c r="N380" s="13">
        <v>0.0005714285714285715</v>
      </c>
      <c r="O380" s="13">
        <v>0.0005714285714285715</v>
      </c>
      <c r="P380" s="13">
        <v>0.0005714285714285715</v>
      </c>
      <c r="Q380" s="13">
        <v>0.0005714285714285715</v>
      </c>
      <c r="R380" s="13">
        <v>0.0005714285714285715</v>
      </c>
      <c r="S380" s="13">
        <v>0.0005714285714285715</v>
      </c>
      <c r="T380" s="5">
        <f t="shared" si="80"/>
        <v>0.001142857142857143</v>
      </c>
      <c r="U380" s="53"/>
      <c r="V380" s="36"/>
      <c r="W380" s="36"/>
      <c r="X380" s="36"/>
      <c r="Y380" s="36"/>
      <c r="Z380" s="36"/>
      <c r="AA380" s="36"/>
      <c r="AB380" s="37"/>
      <c r="AC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</row>
    <row r="381" spans="2:47" ht="12.75" hidden="1">
      <c r="B381" s="215"/>
      <c r="C381" s="199" t="s">
        <v>792</v>
      </c>
      <c r="D381" s="192"/>
      <c r="E381" s="173"/>
      <c r="F381" s="159"/>
      <c r="G381" s="155"/>
      <c r="H381" s="91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5">
        <f t="shared" si="80"/>
        <v>0</v>
      </c>
      <c r="U381" s="53"/>
      <c r="V381" s="36"/>
      <c r="W381" s="36"/>
      <c r="X381" s="36"/>
      <c r="Y381" s="36"/>
      <c r="Z381" s="36"/>
      <c r="AA381" s="36"/>
      <c r="AB381" s="37"/>
      <c r="AC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</row>
    <row r="382" spans="2:47" ht="12.75" hidden="1">
      <c r="B382" s="215" t="s">
        <v>793</v>
      </c>
      <c r="C382" s="199" t="s">
        <v>1045</v>
      </c>
      <c r="D382" s="192">
        <v>0.018</v>
      </c>
      <c r="E382" s="173"/>
      <c r="F382" s="159"/>
      <c r="G382" s="155"/>
      <c r="H382" s="91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0.0025714285714285713</v>
      </c>
      <c r="N382" s="13">
        <v>0.0025714285714285713</v>
      </c>
      <c r="O382" s="13">
        <v>0.0025714285714285713</v>
      </c>
      <c r="P382" s="13">
        <v>0.0025714285714285713</v>
      </c>
      <c r="Q382" s="13">
        <v>0.0025714285714285713</v>
      </c>
      <c r="R382" s="13">
        <v>0.0025714285714285713</v>
      </c>
      <c r="S382" s="13">
        <v>0.0025714285714285713</v>
      </c>
      <c r="T382" s="5">
        <f t="shared" si="80"/>
        <v>0.005142857142857143</v>
      </c>
      <c r="U382" s="53"/>
      <c r="V382" s="36"/>
      <c r="W382" s="36"/>
      <c r="X382" s="36"/>
      <c r="Y382" s="36"/>
      <c r="Z382" s="36"/>
      <c r="AA382" s="36"/>
      <c r="AB382" s="37"/>
      <c r="AC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</row>
    <row r="383" spans="2:47" ht="12.75" hidden="1">
      <c r="B383" s="215" t="s">
        <v>794</v>
      </c>
      <c r="C383" s="199" t="s">
        <v>1046</v>
      </c>
      <c r="D383" s="192">
        <v>0.002</v>
      </c>
      <c r="E383" s="173"/>
      <c r="F383" s="159"/>
      <c r="G383" s="155"/>
      <c r="H383" s="91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0.00028571428571428574</v>
      </c>
      <c r="N383" s="13">
        <v>0.00028571428571428574</v>
      </c>
      <c r="O383" s="13">
        <v>0.00028571428571428574</v>
      </c>
      <c r="P383" s="13">
        <v>0.00028571428571428574</v>
      </c>
      <c r="Q383" s="13">
        <v>0.00028571428571428574</v>
      </c>
      <c r="R383" s="13">
        <v>0.00028571428571428574</v>
      </c>
      <c r="S383" s="13">
        <v>0.00028571428571428574</v>
      </c>
      <c r="T383" s="5">
        <f t="shared" si="80"/>
        <v>0.0005714285714285715</v>
      </c>
      <c r="U383" s="53"/>
      <c r="V383" s="36"/>
      <c r="W383" s="36"/>
      <c r="X383" s="36"/>
      <c r="Y383" s="36"/>
      <c r="Z383" s="36"/>
      <c r="AA383" s="36"/>
      <c r="AB383" s="37"/>
      <c r="AC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</row>
    <row r="384" spans="2:47" ht="12.75" hidden="1">
      <c r="B384" s="215" t="s">
        <v>795</v>
      </c>
      <c r="C384" s="199" t="s">
        <v>1047</v>
      </c>
      <c r="D384" s="192">
        <v>0.003</v>
      </c>
      <c r="E384" s="173"/>
      <c r="F384" s="159"/>
      <c r="G384" s="155"/>
      <c r="H384" s="91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0.0004285714285714286</v>
      </c>
      <c r="N384" s="13">
        <v>0.0004285714285714286</v>
      </c>
      <c r="O384" s="13">
        <v>0.0004285714285714286</v>
      </c>
      <c r="P384" s="13">
        <v>0.0004285714285714286</v>
      </c>
      <c r="Q384" s="13">
        <v>0.0004285714285714286</v>
      </c>
      <c r="R384" s="13">
        <v>0.0004285714285714286</v>
      </c>
      <c r="S384" s="13">
        <v>0.0004285714285714286</v>
      </c>
      <c r="T384" s="5">
        <f t="shared" si="80"/>
        <v>0.0008571428571428572</v>
      </c>
      <c r="U384" s="53"/>
      <c r="V384" s="36"/>
      <c r="W384" s="36"/>
      <c r="X384" s="36"/>
      <c r="Y384" s="36"/>
      <c r="Z384" s="36"/>
      <c r="AA384" s="36"/>
      <c r="AB384" s="37"/>
      <c r="AC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</row>
    <row r="385" spans="2:47" ht="12.75" hidden="1">
      <c r="B385" s="215" t="s">
        <v>796</v>
      </c>
      <c r="C385" s="199" t="s">
        <v>1048</v>
      </c>
      <c r="D385" s="194">
        <v>0.03</v>
      </c>
      <c r="E385" s="173"/>
      <c r="F385" s="159"/>
      <c r="G385" s="155">
        <v>0.027</v>
      </c>
      <c r="H385" s="91">
        <v>0.027</v>
      </c>
      <c r="I385" s="13">
        <v>0</v>
      </c>
      <c r="J385" s="13">
        <v>0</v>
      </c>
      <c r="K385" s="13">
        <v>0</v>
      </c>
      <c r="L385" s="13">
        <v>0</v>
      </c>
      <c r="M385" s="13">
        <v>0.0032857142857142863</v>
      </c>
      <c r="N385" s="13">
        <v>0.0032857142857142863</v>
      </c>
      <c r="O385" s="13">
        <v>0.0032857142857142863</v>
      </c>
      <c r="P385" s="13">
        <v>0.0032857142857142863</v>
      </c>
      <c r="Q385" s="13">
        <v>0.0032857142857142863</v>
      </c>
      <c r="R385" s="13">
        <v>0.0032857142857142863</v>
      </c>
      <c r="S385" s="13">
        <v>0.0032857142857142863</v>
      </c>
      <c r="T385" s="5">
        <f t="shared" si="80"/>
        <v>0.03357142857142857</v>
      </c>
      <c r="U385" s="53"/>
      <c r="V385" s="36"/>
      <c r="W385" s="36"/>
      <c r="X385" s="36"/>
      <c r="Y385" s="36"/>
      <c r="Z385" s="36"/>
      <c r="AA385" s="36"/>
      <c r="AB385" s="37"/>
      <c r="AC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</row>
    <row r="386" spans="2:47" ht="12.75" hidden="1">
      <c r="B386" s="215" t="s">
        <v>797</v>
      </c>
      <c r="C386" s="199" t="s">
        <v>1049</v>
      </c>
      <c r="D386" s="192">
        <v>0.003</v>
      </c>
      <c r="E386" s="173"/>
      <c r="F386" s="159"/>
      <c r="G386" s="155">
        <v>0.003</v>
      </c>
      <c r="H386" s="91">
        <v>0.003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5">
        <f t="shared" si="80"/>
        <v>0.003</v>
      </c>
      <c r="U386" s="53"/>
      <c r="V386" s="36"/>
      <c r="W386" s="36"/>
      <c r="X386" s="36"/>
      <c r="Y386" s="36"/>
      <c r="Z386" s="36"/>
      <c r="AA386" s="36"/>
      <c r="AB386" s="37"/>
      <c r="AC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</row>
    <row r="387" spans="2:47" ht="12.75" hidden="1">
      <c r="B387" s="215" t="s">
        <v>798</v>
      </c>
      <c r="C387" s="199" t="s">
        <v>1050</v>
      </c>
      <c r="D387" s="192">
        <v>0.003</v>
      </c>
      <c r="E387" s="173"/>
      <c r="F387" s="159"/>
      <c r="G387" s="155"/>
      <c r="H387" s="91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0.0004285714285714286</v>
      </c>
      <c r="N387" s="13">
        <v>0.0004285714285714286</v>
      </c>
      <c r="O387" s="13">
        <v>0.0004285714285714286</v>
      </c>
      <c r="P387" s="13">
        <v>0.0004285714285714286</v>
      </c>
      <c r="Q387" s="13">
        <v>0.0004285714285714286</v>
      </c>
      <c r="R387" s="13">
        <v>0.0004285714285714286</v>
      </c>
      <c r="S387" s="13">
        <v>0.0004285714285714286</v>
      </c>
      <c r="T387" s="5">
        <f t="shared" si="80"/>
        <v>0.0008571428571428572</v>
      </c>
      <c r="U387" s="53"/>
      <c r="V387" s="36"/>
      <c r="W387" s="36"/>
      <c r="X387" s="36"/>
      <c r="Y387" s="36"/>
      <c r="Z387" s="36"/>
      <c r="AA387" s="36"/>
      <c r="AB387" s="37"/>
      <c r="AC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</row>
    <row r="388" spans="2:47" ht="12.75" hidden="1">
      <c r="B388" s="215" t="s">
        <v>799</v>
      </c>
      <c r="C388" s="199" t="s">
        <v>1051</v>
      </c>
      <c r="D388" s="192">
        <v>0.008</v>
      </c>
      <c r="E388" s="173"/>
      <c r="F388" s="159"/>
      <c r="G388" s="155">
        <v>0.007</v>
      </c>
      <c r="H388" s="91">
        <v>0.007</v>
      </c>
      <c r="I388" s="13">
        <v>0</v>
      </c>
      <c r="J388" s="13">
        <v>0</v>
      </c>
      <c r="K388" s="13">
        <v>0</v>
      </c>
      <c r="L388" s="13">
        <v>0</v>
      </c>
      <c r="M388" s="13">
        <v>0.006285714285714285</v>
      </c>
      <c r="N388" s="13">
        <v>0.006285714285714285</v>
      </c>
      <c r="O388" s="13">
        <v>0.006285714285714285</v>
      </c>
      <c r="P388" s="13">
        <v>0.006285714285714285</v>
      </c>
      <c r="Q388" s="13">
        <v>0.006285714285714285</v>
      </c>
      <c r="R388" s="13">
        <v>0.006285714285714285</v>
      </c>
      <c r="S388" s="13">
        <v>0.006285714285714285</v>
      </c>
      <c r="T388" s="5">
        <f t="shared" si="80"/>
        <v>0.019571428571428573</v>
      </c>
      <c r="U388" s="53"/>
      <c r="V388" s="36"/>
      <c r="W388" s="36"/>
      <c r="X388" s="36"/>
      <c r="Y388" s="36"/>
      <c r="Z388" s="36"/>
      <c r="AA388" s="36"/>
      <c r="AB388" s="37"/>
      <c r="AC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</row>
    <row r="389" spans="2:47" ht="12.75" hidden="1">
      <c r="B389" s="215" t="s">
        <v>800</v>
      </c>
      <c r="C389" s="199" t="s">
        <v>1052</v>
      </c>
      <c r="D389" s="192">
        <v>0.001</v>
      </c>
      <c r="E389" s="173"/>
      <c r="F389" s="159"/>
      <c r="G389" s="155">
        <v>0.001</v>
      </c>
      <c r="H389" s="91">
        <v>0.001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5">
        <f t="shared" si="80"/>
        <v>0.001</v>
      </c>
      <c r="U389" s="53"/>
      <c r="V389" s="36"/>
      <c r="W389" s="36"/>
      <c r="X389" s="36"/>
      <c r="Y389" s="36"/>
      <c r="Z389" s="36"/>
      <c r="AA389" s="36"/>
      <c r="AB389" s="37"/>
      <c r="AC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</row>
    <row r="390" spans="2:47" ht="12.75" hidden="1">
      <c r="B390" s="215" t="s">
        <v>801</v>
      </c>
      <c r="C390" s="199" t="s">
        <v>1053</v>
      </c>
      <c r="D390" s="192">
        <v>0.001</v>
      </c>
      <c r="E390" s="173"/>
      <c r="F390" s="159"/>
      <c r="G390" s="155">
        <v>0.001</v>
      </c>
      <c r="H390" s="91">
        <v>0.001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5">
        <f t="shared" si="80"/>
        <v>0.001</v>
      </c>
      <c r="U390" s="53"/>
      <c r="V390" s="36"/>
      <c r="W390" s="36"/>
      <c r="X390" s="36"/>
      <c r="Y390" s="36"/>
      <c r="Z390" s="36"/>
      <c r="AA390" s="36"/>
      <c r="AB390" s="37"/>
      <c r="AC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</row>
    <row r="391" spans="2:47" ht="12.75" hidden="1">
      <c r="B391" s="215"/>
      <c r="C391" s="199" t="s">
        <v>1555</v>
      </c>
      <c r="D391" s="192">
        <v>0.001</v>
      </c>
      <c r="E391" s="173"/>
      <c r="F391" s="159"/>
      <c r="G391" s="155">
        <v>0.001</v>
      </c>
      <c r="H391" s="91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5"/>
      <c r="U391" s="53"/>
      <c r="V391" s="36"/>
      <c r="W391" s="36"/>
      <c r="X391" s="36"/>
      <c r="Y391" s="36"/>
      <c r="Z391" s="36"/>
      <c r="AA391" s="36"/>
      <c r="AB391" s="37"/>
      <c r="AC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</row>
    <row r="392" spans="2:47" ht="12.75" hidden="1">
      <c r="B392" s="215"/>
      <c r="C392" s="199" t="s">
        <v>802</v>
      </c>
      <c r="D392" s="192"/>
      <c r="E392" s="173"/>
      <c r="F392" s="159"/>
      <c r="G392" s="155"/>
      <c r="H392" s="91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5">
        <f aca="true" t="shared" si="81" ref="T392:T411">SUM(H392:N392)</f>
        <v>0</v>
      </c>
      <c r="U392" s="53"/>
      <c r="V392" s="36"/>
      <c r="W392" s="36"/>
      <c r="X392" s="36"/>
      <c r="Y392" s="36"/>
      <c r="Z392" s="36"/>
      <c r="AA392" s="36"/>
      <c r="AB392" s="37"/>
      <c r="AC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</row>
    <row r="393" spans="2:47" ht="12.75" hidden="1">
      <c r="B393" s="210" t="s">
        <v>803</v>
      </c>
      <c r="C393" s="199" t="s">
        <v>1054</v>
      </c>
      <c r="D393" s="192">
        <v>0.001</v>
      </c>
      <c r="E393" s="173"/>
      <c r="F393" s="159"/>
      <c r="G393" s="155">
        <v>0.001</v>
      </c>
      <c r="H393" s="91">
        <v>0.001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5">
        <f t="shared" si="81"/>
        <v>0.001</v>
      </c>
      <c r="U393" s="53"/>
      <c r="V393" s="36"/>
      <c r="W393" s="36"/>
      <c r="X393" s="36"/>
      <c r="Y393" s="36"/>
      <c r="Z393" s="36"/>
      <c r="AA393" s="36"/>
      <c r="AB393" s="37"/>
      <c r="AC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</row>
    <row r="394" spans="2:47" ht="12.75" hidden="1">
      <c r="B394" s="210" t="s">
        <v>804</v>
      </c>
      <c r="C394" s="199" t="s">
        <v>1055</v>
      </c>
      <c r="D394" s="192">
        <v>0.033</v>
      </c>
      <c r="E394" s="173"/>
      <c r="F394" s="159"/>
      <c r="G394" s="155"/>
      <c r="H394" s="91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0.004714285714285714</v>
      </c>
      <c r="N394" s="13">
        <v>0.004714285714285714</v>
      </c>
      <c r="O394" s="13">
        <v>0.004714285714285714</v>
      </c>
      <c r="P394" s="13">
        <v>0.004714285714285714</v>
      </c>
      <c r="Q394" s="13">
        <v>0.004714285714285714</v>
      </c>
      <c r="R394" s="13">
        <v>0.004714285714285714</v>
      </c>
      <c r="S394" s="13">
        <v>0.004714285714285714</v>
      </c>
      <c r="T394" s="5">
        <f t="shared" si="81"/>
        <v>0.009428571428571429</v>
      </c>
      <c r="U394" s="53"/>
      <c r="V394" s="36"/>
      <c r="W394" s="36"/>
      <c r="X394" s="36"/>
      <c r="Y394" s="36"/>
      <c r="Z394" s="36"/>
      <c r="AA394" s="36"/>
      <c r="AB394" s="37"/>
      <c r="AC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</row>
    <row r="395" spans="2:47" ht="12.75" hidden="1">
      <c r="B395" s="210" t="s">
        <v>805</v>
      </c>
      <c r="C395" s="199" t="s">
        <v>1056</v>
      </c>
      <c r="D395" s="192">
        <v>0.008</v>
      </c>
      <c r="E395" s="173"/>
      <c r="F395" s="159"/>
      <c r="G395" s="155">
        <v>0.007</v>
      </c>
      <c r="H395" s="91">
        <v>0.007</v>
      </c>
      <c r="I395" s="13">
        <v>0</v>
      </c>
      <c r="J395" s="13">
        <v>0</v>
      </c>
      <c r="K395" s="13">
        <v>0</v>
      </c>
      <c r="L395" s="13">
        <v>0</v>
      </c>
      <c r="M395" s="13">
        <v>0.00014285714285714287</v>
      </c>
      <c r="N395" s="13">
        <v>0.00014285714285714287</v>
      </c>
      <c r="O395" s="13">
        <v>0.00014285714285714287</v>
      </c>
      <c r="P395" s="13">
        <v>0.00014285714285714287</v>
      </c>
      <c r="Q395" s="13">
        <v>0.00014285714285714287</v>
      </c>
      <c r="R395" s="13">
        <v>0.00014285714285714287</v>
      </c>
      <c r="S395" s="13">
        <v>0.00014285714285714287</v>
      </c>
      <c r="T395" s="5">
        <f t="shared" si="81"/>
        <v>0.007285714285714285</v>
      </c>
      <c r="U395" s="53"/>
      <c r="V395" s="36"/>
      <c r="W395" s="36"/>
      <c r="X395" s="36"/>
      <c r="Y395" s="36"/>
      <c r="Z395" s="36"/>
      <c r="AA395" s="36"/>
      <c r="AB395" s="37"/>
      <c r="AC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</row>
    <row r="396" spans="2:47" ht="12.75" hidden="1">
      <c r="B396" s="210" t="s">
        <v>806</v>
      </c>
      <c r="C396" s="199" t="s">
        <v>1057</v>
      </c>
      <c r="D396" s="192">
        <v>0.005</v>
      </c>
      <c r="E396" s="173"/>
      <c r="F396" s="159"/>
      <c r="G396" s="155"/>
      <c r="H396" s="91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0.0007142857142857143</v>
      </c>
      <c r="N396" s="13">
        <v>0.0007142857142857143</v>
      </c>
      <c r="O396" s="13">
        <v>0.0007142857142857143</v>
      </c>
      <c r="P396" s="13">
        <v>0.0007142857142857143</v>
      </c>
      <c r="Q396" s="13">
        <v>0.0007142857142857143</v>
      </c>
      <c r="R396" s="13">
        <v>0.0007142857142857143</v>
      </c>
      <c r="S396" s="13">
        <v>0.0007142857142857143</v>
      </c>
      <c r="T396" s="5">
        <f t="shared" si="81"/>
        <v>0.0014285714285714286</v>
      </c>
      <c r="U396" s="53"/>
      <c r="V396" s="36"/>
      <c r="W396" s="36"/>
      <c r="X396" s="36"/>
      <c r="Y396" s="36"/>
      <c r="Z396" s="36"/>
      <c r="AA396" s="36"/>
      <c r="AB396" s="37"/>
      <c r="AC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</row>
    <row r="397" spans="2:47" ht="12.75" hidden="1">
      <c r="B397" s="210" t="s">
        <v>807</v>
      </c>
      <c r="C397" s="199" t="s">
        <v>1058</v>
      </c>
      <c r="D397" s="192">
        <v>0.221</v>
      </c>
      <c r="E397" s="173"/>
      <c r="F397" s="159"/>
      <c r="G397" s="155">
        <v>0.08</v>
      </c>
      <c r="H397" s="91">
        <v>0.08</v>
      </c>
      <c r="I397" s="13">
        <v>0</v>
      </c>
      <c r="J397" s="13">
        <v>0</v>
      </c>
      <c r="K397" s="13">
        <v>0</v>
      </c>
      <c r="L397" s="13">
        <v>0</v>
      </c>
      <c r="M397" s="13">
        <v>0.020142857142857146</v>
      </c>
      <c r="N397" s="13">
        <v>0.020142857142857146</v>
      </c>
      <c r="O397" s="13">
        <v>0.020142857142857146</v>
      </c>
      <c r="P397" s="13">
        <v>0.020142857142857146</v>
      </c>
      <c r="Q397" s="13">
        <v>0.020142857142857146</v>
      </c>
      <c r="R397" s="13">
        <v>0.020142857142857146</v>
      </c>
      <c r="S397" s="13">
        <v>0.020142857142857146</v>
      </c>
      <c r="T397" s="5">
        <f t="shared" si="81"/>
        <v>0.12028571428571429</v>
      </c>
      <c r="U397" s="53"/>
      <c r="V397" s="36"/>
      <c r="W397" s="36"/>
      <c r="X397" s="36"/>
      <c r="Y397" s="36"/>
      <c r="Z397" s="36"/>
      <c r="AA397" s="36"/>
      <c r="AB397" s="37"/>
      <c r="AC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</row>
    <row r="398" spans="2:47" ht="12.75" hidden="1">
      <c r="B398" s="210" t="s">
        <v>808</v>
      </c>
      <c r="C398" s="199" t="s">
        <v>1059</v>
      </c>
      <c r="D398" s="192">
        <v>0.022</v>
      </c>
      <c r="E398" s="173"/>
      <c r="F398" s="159"/>
      <c r="G398" s="155"/>
      <c r="H398" s="91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0.0031428571428571426</v>
      </c>
      <c r="N398" s="13">
        <v>0.0031428571428571426</v>
      </c>
      <c r="O398" s="13">
        <v>0.0031428571428571426</v>
      </c>
      <c r="P398" s="13">
        <v>0.0031428571428571426</v>
      </c>
      <c r="Q398" s="13">
        <v>0.0031428571428571426</v>
      </c>
      <c r="R398" s="13">
        <v>0.0031428571428571426</v>
      </c>
      <c r="S398" s="13">
        <v>0.0031428571428571426</v>
      </c>
      <c r="T398" s="5">
        <f t="shared" si="81"/>
        <v>0.006285714285714285</v>
      </c>
      <c r="U398" s="53"/>
      <c r="V398" s="36"/>
      <c r="W398" s="36"/>
      <c r="X398" s="36"/>
      <c r="Y398" s="36"/>
      <c r="Z398" s="36"/>
      <c r="AA398" s="36"/>
      <c r="AB398" s="37"/>
      <c r="AC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</row>
    <row r="399" spans="2:47" ht="12.75" hidden="1">
      <c r="B399" s="215"/>
      <c r="C399" s="199" t="s">
        <v>911</v>
      </c>
      <c r="D399" s="192"/>
      <c r="E399" s="173"/>
      <c r="F399" s="159"/>
      <c r="G399" s="155"/>
      <c r="H399" s="91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5">
        <f t="shared" si="81"/>
        <v>0</v>
      </c>
      <c r="U399" s="53"/>
      <c r="V399" s="36"/>
      <c r="W399" s="36"/>
      <c r="X399" s="36"/>
      <c r="Y399" s="36"/>
      <c r="Z399" s="36"/>
      <c r="AA399" s="36"/>
      <c r="AB399" s="37"/>
      <c r="AC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</row>
    <row r="400" spans="2:47" ht="12.75" hidden="1">
      <c r="B400" s="215" t="s">
        <v>809</v>
      </c>
      <c r="C400" s="199" t="s">
        <v>1065</v>
      </c>
      <c r="D400" s="192">
        <v>0</v>
      </c>
      <c r="E400" s="173"/>
      <c r="F400" s="159"/>
      <c r="G400" s="155"/>
      <c r="H400" s="91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5">
        <f t="shared" si="81"/>
        <v>0</v>
      </c>
      <c r="U400" s="53"/>
      <c r="V400" s="36"/>
      <c r="W400" s="36"/>
      <c r="X400" s="36"/>
      <c r="Y400" s="36"/>
      <c r="Z400" s="36"/>
      <c r="AA400" s="36"/>
      <c r="AB400" s="37"/>
      <c r="AC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</row>
    <row r="401" spans="2:47" ht="12.75" hidden="1">
      <c r="B401" s="215" t="s">
        <v>810</v>
      </c>
      <c r="C401" s="199" t="s">
        <v>1066</v>
      </c>
      <c r="D401" s="192">
        <v>0.004</v>
      </c>
      <c r="E401" s="173"/>
      <c r="F401" s="159"/>
      <c r="G401" s="155">
        <v>0.004</v>
      </c>
      <c r="H401" s="91">
        <v>0.005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5">
        <f t="shared" si="81"/>
        <v>0.005</v>
      </c>
      <c r="U401" s="53"/>
      <c r="V401" s="36"/>
      <c r="W401" s="36"/>
      <c r="X401" s="36"/>
      <c r="Y401" s="36"/>
      <c r="Z401" s="36"/>
      <c r="AA401" s="36"/>
      <c r="AB401" s="37"/>
      <c r="AC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</row>
    <row r="402" spans="2:47" ht="12.75" hidden="1">
      <c r="B402" s="215" t="s">
        <v>811</v>
      </c>
      <c r="C402" s="199" t="s">
        <v>1067</v>
      </c>
      <c r="D402" s="192">
        <v>0</v>
      </c>
      <c r="E402" s="173"/>
      <c r="F402" s="159"/>
      <c r="G402" s="155"/>
      <c r="H402" s="91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5">
        <f t="shared" si="81"/>
        <v>0</v>
      </c>
      <c r="U402" s="53"/>
      <c r="V402" s="36"/>
      <c r="W402" s="36"/>
      <c r="X402" s="36"/>
      <c r="Y402" s="36"/>
      <c r="Z402" s="36"/>
      <c r="AA402" s="36"/>
      <c r="AB402" s="37"/>
      <c r="AC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</row>
    <row r="403" spans="2:47" ht="12.75" hidden="1">
      <c r="B403" s="215" t="s">
        <v>812</v>
      </c>
      <c r="C403" s="199" t="s">
        <v>1068</v>
      </c>
      <c r="D403" s="192">
        <v>0.002</v>
      </c>
      <c r="E403" s="173"/>
      <c r="F403" s="159"/>
      <c r="G403" s="155">
        <v>0.002</v>
      </c>
      <c r="H403" s="91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0.00028571428571428574</v>
      </c>
      <c r="N403" s="13">
        <v>0.00028571428571428574</v>
      </c>
      <c r="O403" s="13">
        <v>0.00028571428571428574</v>
      </c>
      <c r="P403" s="13">
        <v>0.00028571428571428574</v>
      </c>
      <c r="Q403" s="13">
        <v>0.00028571428571428574</v>
      </c>
      <c r="R403" s="13">
        <v>0.00028571428571428574</v>
      </c>
      <c r="S403" s="13">
        <v>0.00028571428571428574</v>
      </c>
      <c r="T403" s="5">
        <f t="shared" si="81"/>
        <v>0.0005714285714285715</v>
      </c>
      <c r="U403" s="53"/>
      <c r="V403" s="36"/>
      <c r="W403" s="36"/>
      <c r="X403" s="36"/>
      <c r="Y403" s="36"/>
      <c r="Z403" s="36"/>
      <c r="AA403" s="36"/>
      <c r="AB403" s="37"/>
      <c r="AC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</row>
    <row r="404" spans="2:47" ht="12.75" hidden="1">
      <c r="B404" s="215" t="s">
        <v>1316</v>
      </c>
      <c r="C404" s="199" t="s">
        <v>1069</v>
      </c>
      <c r="D404" s="192">
        <v>0.011</v>
      </c>
      <c r="E404" s="173"/>
      <c r="F404" s="159"/>
      <c r="G404" s="155">
        <v>0.011</v>
      </c>
      <c r="H404" s="91">
        <v>0.004</v>
      </c>
      <c r="I404" s="13">
        <v>0</v>
      </c>
      <c r="J404" s="13">
        <v>0</v>
      </c>
      <c r="K404" s="13">
        <v>0</v>
      </c>
      <c r="L404" s="13">
        <v>0</v>
      </c>
      <c r="M404" s="13">
        <v>0.0007142857142857142</v>
      </c>
      <c r="N404" s="13">
        <v>0.0007142857142857142</v>
      </c>
      <c r="O404" s="13">
        <v>0.0007142857142857142</v>
      </c>
      <c r="P404" s="13">
        <v>0.0007142857142857142</v>
      </c>
      <c r="Q404" s="13">
        <v>0.0007142857142857142</v>
      </c>
      <c r="R404" s="13">
        <v>0.0007142857142857142</v>
      </c>
      <c r="S404" s="13">
        <v>0.0007142857142857142</v>
      </c>
      <c r="T404" s="5">
        <f t="shared" si="81"/>
        <v>0.0054285714285714284</v>
      </c>
      <c r="U404" s="53"/>
      <c r="V404" s="36"/>
      <c r="W404" s="36"/>
      <c r="X404" s="36"/>
      <c r="Y404" s="36"/>
      <c r="Z404" s="36"/>
      <c r="AA404" s="36"/>
      <c r="AB404" s="37"/>
      <c r="AC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</row>
    <row r="405" spans="2:47" ht="12.75" hidden="1">
      <c r="B405" s="215"/>
      <c r="C405" s="199" t="s">
        <v>1070</v>
      </c>
      <c r="D405" s="192"/>
      <c r="E405" s="173"/>
      <c r="F405" s="159"/>
      <c r="G405" s="155"/>
      <c r="H405" s="91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5">
        <f t="shared" si="81"/>
        <v>0</v>
      </c>
      <c r="U405" s="53"/>
      <c r="V405" s="36"/>
      <c r="W405" s="36"/>
      <c r="X405" s="36"/>
      <c r="Y405" s="36"/>
      <c r="Z405" s="36"/>
      <c r="AA405" s="36"/>
      <c r="AB405" s="37"/>
      <c r="AC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</row>
    <row r="406" spans="2:47" ht="12.75" hidden="1">
      <c r="B406" s="215" t="s">
        <v>1317</v>
      </c>
      <c r="C406" s="199" t="s">
        <v>1071</v>
      </c>
      <c r="D406" s="192">
        <v>0</v>
      </c>
      <c r="E406" s="173"/>
      <c r="F406" s="159"/>
      <c r="G406" s="155"/>
      <c r="H406" s="91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5">
        <f t="shared" si="81"/>
        <v>0</v>
      </c>
      <c r="U406" s="53"/>
      <c r="V406" s="36"/>
      <c r="W406" s="36"/>
      <c r="X406" s="36"/>
      <c r="Y406" s="36"/>
      <c r="Z406" s="36"/>
      <c r="AA406" s="36"/>
      <c r="AB406" s="37"/>
      <c r="AC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</row>
    <row r="407" spans="2:47" ht="12.75" hidden="1">
      <c r="B407" s="215" t="s">
        <v>1318</v>
      </c>
      <c r="C407" s="199" t="s">
        <v>1038</v>
      </c>
      <c r="D407" s="192">
        <v>0.009</v>
      </c>
      <c r="E407" s="173"/>
      <c r="F407" s="159"/>
      <c r="G407" s="155"/>
      <c r="H407" s="91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0.0012857142857142856</v>
      </c>
      <c r="N407" s="13">
        <v>0.0012857142857142856</v>
      </c>
      <c r="O407" s="13">
        <v>0.0012857142857142856</v>
      </c>
      <c r="P407" s="13">
        <v>0.0012857142857142856</v>
      </c>
      <c r="Q407" s="13">
        <v>0.0012857142857142856</v>
      </c>
      <c r="R407" s="13">
        <v>0.0012857142857142856</v>
      </c>
      <c r="S407" s="13">
        <v>0.0012857142857142856</v>
      </c>
      <c r="T407" s="5">
        <f t="shared" si="81"/>
        <v>0.0025714285714285713</v>
      </c>
      <c r="U407" s="53"/>
      <c r="V407" s="36"/>
      <c r="W407" s="36"/>
      <c r="X407" s="36"/>
      <c r="Y407" s="36"/>
      <c r="Z407" s="36"/>
      <c r="AA407" s="36"/>
      <c r="AB407" s="37"/>
      <c r="AC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</row>
    <row r="408" spans="2:47" ht="12.75" hidden="1">
      <c r="B408" s="215" t="s">
        <v>1319</v>
      </c>
      <c r="C408" s="199" t="s">
        <v>1039</v>
      </c>
      <c r="D408" s="192">
        <v>0.012</v>
      </c>
      <c r="E408" s="173"/>
      <c r="F408" s="159"/>
      <c r="G408" s="155">
        <v>0.012</v>
      </c>
      <c r="H408" s="91">
        <v>0.012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5">
        <f t="shared" si="81"/>
        <v>0.012</v>
      </c>
      <c r="U408" s="53"/>
      <c r="V408" s="36"/>
      <c r="W408" s="36"/>
      <c r="X408" s="36"/>
      <c r="Y408" s="36"/>
      <c r="Z408" s="36"/>
      <c r="AA408" s="36"/>
      <c r="AB408" s="37"/>
      <c r="AC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</row>
    <row r="409" spans="2:47" ht="12.75" hidden="1">
      <c r="B409" s="215" t="s">
        <v>1320</v>
      </c>
      <c r="C409" s="199" t="s">
        <v>1040</v>
      </c>
      <c r="D409" s="192">
        <v>0.033</v>
      </c>
      <c r="E409" s="173"/>
      <c r="F409" s="159"/>
      <c r="G409" s="155">
        <v>0.033</v>
      </c>
      <c r="H409" s="91">
        <v>0.032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5">
        <f t="shared" si="81"/>
        <v>0.032</v>
      </c>
      <c r="U409" s="53"/>
      <c r="V409" s="36"/>
      <c r="W409" s="36"/>
      <c r="X409" s="36"/>
      <c r="Y409" s="36"/>
      <c r="Z409" s="36"/>
      <c r="AA409" s="36"/>
      <c r="AB409" s="37"/>
      <c r="AC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</row>
    <row r="410" spans="2:47" ht="12.75" hidden="1">
      <c r="B410" s="215" t="s">
        <v>1321</v>
      </c>
      <c r="C410" s="199" t="s">
        <v>1041</v>
      </c>
      <c r="D410" s="192">
        <v>0.034</v>
      </c>
      <c r="E410" s="173"/>
      <c r="F410" s="159"/>
      <c r="G410" s="155"/>
      <c r="H410" s="91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0.004857142857142858</v>
      </c>
      <c r="N410" s="13">
        <v>0.004857142857142858</v>
      </c>
      <c r="O410" s="13">
        <v>0.004857142857142858</v>
      </c>
      <c r="P410" s="13">
        <v>0.004857142857142858</v>
      </c>
      <c r="Q410" s="13">
        <v>0.004857142857142858</v>
      </c>
      <c r="R410" s="13">
        <v>0.004857142857142858</v>
      </c>
      <c r="S410" s="13">
        <v>0.004857142857142858</v>
      </c>
      <c r="T410" s="5">
        <f t="shared" si="81"/>
        <v>0.009714285714285715</v>
      </c>
      <c r="U410" s="53"/>
      <c r="V410" s="36"/>
      <c r="W410" s="36"/>
      <c r="X410" s="36"/>
      <c r="Y410" s="36"/>
      <c r="Z410" s="36"/>
      <c r="AA410" s="36"/>
      <c r="AB410" s="37"/>
      <c r="AC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</row>
    <row r="411" spans="2:47" ht="12.75" hidden="1">
      <c r="B411" s="215" t="s">
        <v>1322</v>
      </c>
      <c r="C411" s="199" t="s">
        <v>1042</v>
      </c>
      <c r="D411" s="194">
        <v>0.01</v>
      </c>
      <c r="E411" s="173"/>
      <c r="F411" s="159"/>
      <c r="G411" s="155">
        <v>0.01</v>
      </c>
      <c r="H411" s="91">
        <v>0.01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5">
        <f t="shared" si="81"/>
        <v>0.01</v>
      </c>
      <c r="U411" s="53"/>
      <c r="V411" s="36"/>
      <c r="W411" s="36"/>
      <c r="X411" s="36"/>
      <c r="Y411" s="36"/>
      <c r="Z411" s="36"/>
      <c r="AA411" s="36"/>
      <c r="AB411" s="37"/>
      <c r="AC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</row>
    <row r="412" spans="2:48" ht="13.5" thickBot="1">
      <c r="B412" s="252" t="s">
        <v>1460</v>
      </c>
      <c r="C412" s="26" t="s">
        <v>1466</v>
      </c>
      <c r="D412" s="191">
        <v>-2.399</v>
      </c>
      <c r="E412" s="171"/>
      <c r="F412" s="171"/>
      <c r="G412" s="155"/>
      <c r="H412" s="52"/>
      <c r="S412" s="94">
        <f>D412</f>
        <v>-2.399</v>
      </c>
      <c r="U412" s="53"/>
      <c r="V412" s="36">
        <v>4.369</v>
      </c>
      <c r="W412" s="36"/>
      <c r="X412" s="36"/>
      <c r="Y412" s="36"/>
      <c r="Z412" s="36"/>
      <c r="AA412" s="36">
        <f>AU412</f>
        <v>0.399</v>
      </c>
      <c r="AB412" s="37">
        <f>16.1+0.676</f>
        <v>16.776</v>
      </c>
      <c r="AC412" s="37">
        <f>SUM(V412:AB412)</f>
        <v>21.544</v>
      </c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>
        <v>0.002</v>
      </c>
      <c r="AQ412" s="37">
        <v>0.097</v>
      </c>
      <c r="AR412" s="37"/>
      <c r="AS412" s="37"/>
      <c r="AT412" s="37">
        <f>0.678-0.378</f>
        <v>0.30000000000000004</v>
      </c>
      <c r="AU412" s="37">
        <f>SUM(AE412:AT412)</f>
        <v>0.399</v>
      </c>
      <c r="AV412" s="33" t="s">
        <v>1151</v>
      </c>
    </row>
    <row r="413" spans="3:48" ht="12.75">
      <c r="C413" s="8" t="s">
        <v>1721</v>
      </c>
      <c r="D413" s="105">
        <f>D364+D343+D318+D301+D291+D266+D239+D214+D178+D412</f>
        <v>21.543999999999997</v>
      </c>
      <c r="E413" s="147"/>
      <c r="F413" s="174"/>
      <c r="G413" s="14">
        <f aca="true" t="shared" si="82" ref="G413:T413">G364+G343+G318+G301+G291+G266+G239+G214+G178+G412</f>
        <v>6.796999999999999</v>
      </c>
      <c r="H413" s="128">
        <f t="shared" si="82"/>
        <v>4.3180000000000005</v>
      </c>
      <c r="I413" s="128">
        <f t="shared" si="82"/>
        <v>0</v>
      </c>
      <c r="J413" s="128">
        <f t="shared" si="82"/>
        <v>0</v>
      </c>
      <c r="K413" s="128">
        <f t="shared" si="82"/>
        <v>0</v>
      </c>
      <c r="L413" s="128">
        <f t="shared" si="82"/>
        <v>0</v>
      </c>
      <c r="M413" s="128">
        <f t="shared" si="82"/>
        <v>3.047857142857143</v>
      </c>
      <c r="N413" s="128">
        <f t="shared" si="82"/>
        <v>3.047857142857143</v>
      </c>
      <c r="O413" s="128">
        <f t="shared" si="82"/>
        <v>3.047857142857143</v>
      </c>
      <c r="P413" s="128">
        <f t="shared" si="82"/>
        <v>3.047857142857143</v>
      </c>
      <c r="Q413" s="128">
        <f t="shared" si="82"/>
        <v>3.047857142857143</v>
      </c>
      <c r="R413" s="128">
        <f t="shared" si="82"/>
        <v>3.047857142857143</v>
      </c>
      <c r="S413" s="128">
        <f t="shared" si="82"/>
        <v>0.648857142857143</v>
      </c>
      <c r="T413" s="105">
        <f t="shared" si="82"/>
        <v>10.328714285714286</v>
      </c>
      <c r="V413" s="142">
        <f aca="true" t="shared" si="83" ref="V413:AC413">V364+V343+V318+V301+V291+V266+V239+V214+V178+V412</f>
        <v>4.369</v>
      </c>
      <c r="W413" s="142">
        <f t="shared" si="83"/>
        <v>0</v>
      </c>
      <c r="X413" s="142">
        <f t="shared" si="83"/>
        <v>0</v>
      </c>
      <c r="Y413" s="142">
        <f t="shared" si="83"/>
        <v>0</v>
      </c>
      <c r="Z413" s="142">
        <f t="shared" si="83"/>
        <v>0</v>
      </c>
      <c r="AA413" s="142">
        <f t="shared" si="83"/>
        <v>0.399</v>
      </c>
      <c r="AB413" s="142">
        <f t="shared" si="83"/>
        <v>16.776</v>
      </c>
      <c r="AC413" s="142">
        <f t="shared" si="83"/>
        <v>21.544</v>
      </c>
      <c r="AD413" s="128"/>
      <c r="AE413" s="142">
        <f aca="true" t="shared" si="84" ref="AE413:AU413">AE364+AE343+AE318+AE301+AE291+AE266+AE239+AE214+AE178+AE412</f>
        <v>0</v>
      </c>
      <c r="AF413" s="142">
        <f t="shared" si="84"/>
        <v>0</v>
      </c>
      <c r="AG413" s="142">
        <f t="shared" si="84"/>
        <v>0</v>
      </c>
      <c r="AH413" s="142">
        <f t="shared" si="84"/>
        <v>0</v>
      </c>
      <c r="AI413" s="142">
        <f t="shared" si="84"/>
        <v>0</v>
      </c>
      <c r="AJ413" s="142">
        <f t="shared" si="84"/>
        <v>0</v>
      </c>
      <c r="AK413" s="142">
        <f t="shared" si="84"/>
        <v>0</v>
      </c>
      <c r="AL413" s="142">
        <f t="shared" si="84"/>
        <v>0</v>
      </c>
      <c r="AM413" s="142">
        <f t="shared" si="84"/>
        <v>0</v>
      </c>
      <c r="AN413" s="142">
        <f t="shared" si="84"/>
        <v>0</v>
      </c>
      <c r="AO413" s="142">
        <f t="shared" si="84"/>
        <v>0</v>
      </c>
      <c r="AP413" s="142">
        <f t="shared" si="84"/>
        <v>0.002</v>
      </c>
      <c r="AQ413" s="142">
        <f t="shared" si="84"/>
        <v>0.097</v>
      </c>
      <c r="AR413" s="142">
        <f t="shared" si="84"/>
        <v>0</v>
      </c>
      <c r="AS413" s="142">
        <f t="shared" si="84"/>
        <v>0</v>
      </c>
      <c r="AT413" s="142">
        <f t="shared" si="84"/>
        <v>0.30000000000000004</v>
      </c>
      <c r="AU413" s="142">
        <f t="shared" si="84"/>
        <v>0.399</v>
      </c>
      <c r="AV413" s="33" t="s">
        <v>1323</v>
      </c>
    </row>
    <row r="414" spans="3:47" ht="13.5" thickBot="1">
      <c r="C414" s="202"/>
      <c r="D414" s="94"/>
      <c r="E414" s="24"/>
      <c r="F414" s="170"/>
      <c r="G414" s="243"/>
      <c r="H414" s="91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87"/>
      <c r="V414" s="36"/>
      <c r="W414" s="36"/>
      <c r="X414" s="36"/>
      <c r="Y414" s="36"/>
      <c r="Z414" s="36"/>
      <c r="AA414" s="36"/>
      <c r="AB414" s="37"/>
      <c r="AC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</row>
    <row r="415" spans="3:47" ht="13.5" thickBot="1">
      <c r="C415" s="8" t="s">
        <v>1037</v>
      </c>
      <c r="D415" s="50">
        <f>D174+D413</f>
        <v>50.525999999999996</v>
      </c>
      <c r="E415" s="175"/>
      <c r="F415" s="176"/>
      <c r="G415" s="25">
        <f aca="true" t="shared" si="85" ref="G415:T415">G174+G413</f>
        <v>14.388999999999998</v>
      </c>
      <c r="H415" s="97">
        <f t="shared" si="85"/>
        <v>9.904</v>
      </c>
      <c r="I415" s="28">
        <f t="shared" si="85"/>
        <v>0</v>
      </c>
      <c r="J415" s="28">
        <f t="shared" si="85"/>
        <v>0</v>
      </c>
      <c r="K415" s="28">
        <f t="shared" si="85"/>
        <v>0</v>
      </c>
      <c r="L415" s="28">
        <f t="shared" si="85"/>
        <v>0</v>
      </c>
      <c r="M415" s="28">
        <f t="shared" si="85"/>
        <v>6.433285714285715</v>
      </c>
      <c r="N415" s="28">
        <f t="shared" si="85"/>
        <v>6.433285714285715</v>
      </c>
      <c r="O415" s="28">
        <f t="shared" si="85"/>
        <v>6.433285714285715</v>
      </c>
      <c r="P415" s="28">
        <f t="shared" si="85"/>
        <v>6.433285714285715</v>
      </c>
      <c r="Q415" s="28">
        <f t="shared" si="85"/>
        <v>6.434428571428572</v>
      </c>
      <c r="R415" s="28">
        <f t="shared" si="85"/>
        <v>6.434428571428572</v>
      </c>
      <c r="S415" s="28">
        <f t="shared" si="85"/>
        <v>4.035428571428572</v>
      </c>
      <c r="T415" s="25">
        <f t="shared" si="85"/>
        <v>22.67957142857143</v>
      </c>
      <c r="V415" s="30">
        <f aca="true" t="shared" si="86" ref="V415:AC415">V413+V174</f>
        <v>5.481</v>
      </c>
      <c r="W415" s="30">
        <f t="shared" si="86"/>
        <v>0</v>
      </c>
      <c r="X415" s="30">
        <f t="shared" si="86"/>
        <v>0</v>
      </c>
      <c r="Y415" s="30">
        <f t="shared" si="86"/>
        <v>0</v>
      </c>
      <c r="Z415" s="30">
        <f t="shared" si="86"/>
        <v>5.868</v>
      </c>
      <c r="AA415" s="30">
        <f t="shared" si="86"/>
        <v>22.101</v>
      </c>
      <c r="AB415" s="30">
        <f t="shared" si="86"/>
        <v>17.076</v>
      </c>
      <c r="AC415" s="30">
        <f t="shared" si="86"/>
        <v>50.525999999999996</v>
      </c>
      <c r="AE415" s="39">
        <f aca="true" t="shared" si="87" ref="AE415:AU415">AE413+AE174</f>
        <v>0</v>
      </c>
      <c r="AF415" s="39">
        <f t="shared" si="87"/>
        <v>4.869</v>
      </c>
      <c r="AG415" s="39">
        <f t="shared" si="87"/>
        <v>0</v>
      </c>
      <c r="AH415" s="39">
        <f t="shared" si="87"/>
        <v>0</v>
      </c>
      <c r="AI415" s="39">
        <f t="shared" si="87"/>
        <v>0</v>
      </c>
      <c r="AJ415" s="39">
        <f t="shared" si="87"/>
        <v>0</v>
      </c>
      <c r="AK415" s="39">
        <f t="shared" si="87"/>
        <v>0</v>
      </c>
      <c r="AL415" s="39">
        <f t="shared" si="87"/>
        <v>0.73</v>
      </c>
      <c r="AM415" s="39">
        <f t="shared" si="87"/>
        <v>1.6019999999999999</v>
      </c>
      <c r="AN415" s="39">
        <f t="shared" si="87"/>
        <v>0.078</v>
      </c>
      <c r="AO415" s="39">
        <f t="shared" si="87"/>
        <v>1.3</v>
      </c>
      <c r="AP415" s="39">
        <f t="shared" si="87"/>
        <v>0.002</v>
      </c>
      <c r="AQ415" s="39">
        <f t="shared" si="87"/>
        <v>0.21200000000000002</v>
      </c>
      <c r="AR415" s="39">
        <f t="shared" si="87"/>
        <v>13.007999999999997</v>
      </c>
      <c r="AS415" s="39">
        <f t="shared" si="87"/>
        <v>0</v>
      </c>
      <c r="AT415" s="39">
        <f t="shared" si="87"/>
        <v>0.30000000000000004</v>
      </c>
      <c r="AU415" s="39">
        <f t="shared" si="87"/>
        <v>22.101</v>
      </c>
    </row>
    <row r="416" spans="3:47" ht="12.75">
      <c r="C416" s="202"/>
      <c r="D416" s="94"/>
      <c r="E416" s="24"/>
      <c r="G416" s="243"/>
      <c r="H416" s="91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95"/>
      <c r="T416" s="87"/>
      <c r="V416" s="36"/>
      <c r="W416" s="36"/>
      <c r="X416" s="36"/>
      <c r="Y416" s="36"/>
      <c r="Z416" s="36"/>
      <c r="AA416" s="36"/>
      <c r="AB416" s="37"/>
      <c r="AC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>
        <f>SUM(AE416:AT416)</f>
        <v>0</v>
      </c>
    </row>
    <row r="417" spans="3:47" ht="12.75">
      <c r="C417" s="202"/>
      <c r="D417" s="94"/>
      <c r="E417" s="24"/>
      <c r="G417" s="243"/>
      <c r="H417" s="91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95"/>
      <c r="T417" s="87"/>
      <c r="V417" s="36"/>
      <c r="W417" s="36"/>
      <c r="X417" s="36"/>
      <c r="Y417" s="36"/>
      <c r="Z417" s="36"/>
      <c r="AA417" s="36"/>
      <c r="AB417" s="37"/>
      <c r="AC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</row>
    <row r="418" spans="3:47" ht="18">
      <c r="C418" s="203" t="s">
        <v>1342</v>
      </c>
      <c r="D418" s="5"/>
      <c r="E418" s="24"/>
      <c r="G418" s="243"/>
      <c r="H418" s="91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95"/>
      <c r="T418" s="87"/>
      <c r="V418" s="36"/>
      <c r="W418" s="36"/>
      <c r="X418" s="36"/>
      <c r="Y418" s="36"/>
      <c r="Z418" s="36"/>
      <c r="AA418" s="36"/>
      <c r="AB418" s="37"/>
      <c r="AC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</row>
    <row r="419" spans="3:47" ht="11.25" customHeight="1">
      <c r="C419" s="203"/>
      <c r="D419" s="5"/>
      <c r="E419" s="24"/>
      <c r="G419" s="243"/>
      <c r="H419" s="91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95"/>
      <c r="T419" s="87"/>
      <c r="V419" s="36"/>
      <c r="W419" s="36"/>
      <c r="X419" s="36"/>
      <c r="Y419" s="36"/>
      <c r="Z419" s="36"/>
      <c r="AA419" s="36"/>
      <c r="AB419" s="37"/>
      <c r="AC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</row>
    <row r="420" spans="3:47" ht="12.75">
      <c r="C420" s="26" t="s">
        <v>439</v>
      </c>
      <c r="D420" s="5">
        <v>0.017</v>
      </c>
      <c r="E420" s="24">
        <v>38078</v>
      </c>
      <c r="F420" s="169">
        <v>38442</v>
      </c>
      <c r="G420" s="10">
        <v>0</v>
      </c>
      <c r="H420" s="52"/>
      <c r="S420" s="94">
        <v>0.017</v>
      </c>
      <c r="T420" s="94">
        <f>SUM(H420:S420)</f>
        <v>0.017</v>
      </c>
      <c r="V420" s="36">
        <v>0.017</v>
      </c>
      <c r="W420" s="36"/>
      <c r="X420" s="36"/>
      <c r="Y420" s="36"/>
      <c r="AA420" s="36">
        <f>SUM(AE420:AT420)</f>
        <v>0</v>
      </c>
      <c r="AB420" s="37"/>
      <c r="AC420" s="37">
        <f>SUM(V420:AB420)</f>
        <v>0.017</v>
      </c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>
        <f>SUM(AE420:AT420)</f>
        <v>0</v>
      </c>
    </row>
    <row r="421" spans="2:47" ht="12.75">
      <c r="B421" s="33" t="s">
        <v>858</v>
      </c>
      <c r="C421" s="5" t="s">
        <v>1383</v>
      </c>
      <c r="D421" s="5">
        <v>0.134</v>
      </c>
      <c r="E421" s="24">
        <v>38078</v>
      </c>
      <c r="F421" s="169">
        <v>38442</v>
      </c>
      <c r="G421" s="10">
        <v>0</v>
      </c>
      <c r="H421" s="52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0.134</v>
      </c>
      <c r="T421" s="5">
        <f>SUM(H421:S421)</f>
        <v>0.134</v>
      </c>
      <c r="V421" s="36">
        <f>0.134</f>
        <v>0.134</v>
      </c>
      <c r="W421" s="36"/>
      <c r="X421" s="36"/>
      <c r="Y421" s="36"/>
      <c r="AA421" s="36">
        <f>SUM(AE421:AT421)</f>
        <v>0</v>
      </c>
      <c r="AB421" s="37"/>
      <c r="AC421" s="37">
        <f>SUM(V421:AB421)</f>
        <v>0.134</v>
      </c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>
        <f>SUM(AE421:AT421)</f>
        <v>0</v>
      </c>
    </row>
    <row r="422" spans="3:47" ht="12.75">
      <c r="C422" s="26" t="s">
        <v>440</v>
      </c>
      <c r="D422" s="5">
        <v>0.002</v>
      </c>
      <c r="F422" s="169">
        <v>38412</v>
      </c>
      <c r="G422" s="10">
        <v>0</v>
      </c>
      <c r="H422" s="91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0.002</v>
      </c>
      <c r="T422" s="5">
        <f aca="true" t="shared" si="88" ref="T422:T470">SUM(H422:N422)</f>
        <v>0</v>
      </c>
      <c r="V422" s="36">
        <v>0.002</v>
      </c>
      <c r="W422" s="36"/>
      <c r="X422" s="36"/>
      <c r="Y422" s="36"/>
      <c r="AA422" s="36">
        <f>SUM(AE422:AT422)</f>
        <v>0</v>
      </c>
      <c r="AB422" s="37"/>
      <c r="AC422" s="37">
        <f>SUM(V422:AB422)</f>
        <v>0.002</v>
      </c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>
        <f>SUM(AE422:AT422)</f>
        <v>0</v>
      </c>
    </row>
    <row r="423" spans="2:47" ht="12.75" hidden="1">
      <c r="B423" s="33" t="s">
        <v>150</v>
      </c>
      <c r="C423" s="26" t="s">
        <v>151</v>
      </c>
      <c r="D423" s="5"/>
      <c r="G423" s="10">
        <v>0.015</v>
      </c>
      <c r="H423" s="91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5">
        <f t="shared" si="88"/>
        <v>0</v>
      </c>
      <c r="V423" s="36"/>
      <c r="W423" s="36"/>
      <c r="X423" s="36"/>
      <c r="Y423" s="36"/>
      <c r="AA423" s="36"/>
      <c r="AB423" s="37"/>
      <c r="AC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</row>
    <row r="424" spans="2:47" ht="12.75" hidden="1">
      <c r="B424" s="33" t="s">
        <v>134</v>
      </c>
      <c r="C424" s="26" t="s">
        <v>135</v>
      </c>
      <c r="D424" s="5"/>
      <c r="G424" s="10">
        <v>0.021</v>
      </c>
      <c r="H424" s="91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5">
        <f t="shared" si="88"/>
        <v>0</v>
      </c>
      <c r="V424" s="36"/>
      <c r="W424" s="36"/>
      <c r="X424" s="36"/>
      <c r="Y424" s="36"/>
      <c r="AA424" s="36"/>
      <c r="AB424" s="37"/>
      <c r="AC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</row>
    <row r="425" spans="1:47" ht="12.75" hidden="1">
      <c r="A425" s="27"/>
      <c r="B425" s="27" t="s">
        <v>216</v>
      </c>
      <c r="C425" s="84" t="s">
        <v>217</v>
      </c>
      <c r="D425" s="26"/>
      <c r="E425" s="171"/>
      <c r="F425" s="177"/>
      <c r="G425" s="10">
        <v>0.003</v>
      </c>
      <c r="H425" s="91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5">
        <f t="shared" si="88"/>
        <v>0</v>
      </c>
      <c r="V425" s="36"/>
      <c r="W425" s="36"/>
      <c r="X425" s="36"/>
      <c r="Y425" s="36"/>
      <c r="AA425" s="36"/>
      <c r="AB425" s="37"/>
      <c r="AC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>
        <f>SUM(AE425:AT425)</f>
        <v>0</v>
      </c>
    </row>
    <row r="426" spans="1:47" ht="12.75" hidden="1">
      <c r="A426" s="27"/>
      <c r="B426" s="27" t="s">
        <v>218</v>
      </c>
      <c r="C426" s="84" t="s">
        <v>220</v>
      </c>
      <c r="D426" s="26"/>
      <c r="E426" s="171"/>
      <c r="F426" s="177"/>
      <c r="G426" s="10">
        <v>0.014</v>
      </c>
      <c r="H426" s="91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5">
        <f t="shared" si="88"/>
        <v>0</v>
      </c>
      <c r="V426" s="36"/>
      <c r="W426" s="36"/>
      <c r="X426" s="36"/>
      <c r="Y426" s="36"/>
      <c r="AA426" s="36"/>
      <c r="AB426" s="37"/>
      <c r="AC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>
        <f>SUM(AE426:AT426)</f>
        <v>0</v>
      </c>
    </row>
    <row r="427" spans="1:47" ht="12.75" hidden="1">
      <c r="A427" s="27"/>
      <c r="B427" s="256" t="s">
        <v>136</v>
      </c>
      <c r="C427" s="84" t="s">
        <v>137</v>
      </c>
      <c r="D427" s="26"/>
      <c r="E427" s="171"/>
      <c r="F427" s="177"/>
      <c r="G427" s="10">
        <v>0.039</v>
      </c>
      <c r="H427" s="91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5">
        <f t="shared" si="88"/>
        <v>0</v>
      </c>
      <c r="V427" s="36"/>
      <c r="W427" s="36"/>
      <c r="X427" s="36"/>
      <c r="Y427" s="36"/>
      <c r="AA427" s="36"/>
      <c r="AB427" s="37"/>
      <c r="AC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</row>
    <row r="428" spans="1:47" ht="12.75" hidden="1">
      <c r="A428" s="27"/>
      <c r="B428" s="27" t="s">
        <v>573</v>
      </c>
      <c r="C428" s="84" t="s">
        <v>574</v>
      </c>
      <c r="D428" s="26"/>
      <c r="E428" s="171"/>
      <c r="F428" s="177"/>
      <c r="G428" s="10">
        <v>0.004</v>
      </c>
      <c r="H428" s="91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5">
        <f t="shared" si="88"/>
        <v>0</v>
      </c>
      <c r="V428" s="36"/>
      <c r="W428" s="36"/>
      <c r="X428" s="36"/>
      <c r="Y428" s="36"/>
      <c r="AA428" s="36"/>
      <c r="AB428" s="37"/>
      <c r="AC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</row>
    <row r="429" spans="1:47" ht="12.75" hidden="1">
      <c r="A429" s="27"/>
      <c r="B429" s="27" t="s">
        <v>1264</v>
      </c>
      <c r="C429" s="84" t="s">
        <v>1265</v>
      </c>
      <c r="D429" s="26"/>
      <c r="E429" s="171"/>
      <c r="F429" s="177"/>
      <c r="G429" s="10">
        <v>0.002</v>
      </c>
      <c r="H429" s="91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5"/>
      <c r="V429" s="36"/>
      <c r="W429" s="36"/>
      <c r="X429" s="36"/>
      <c r="Y429" s="36"/>
      <c r="AA429" s="36"/>
      <c r="AB429" s="37"/>
      <c r="AC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</row>
    <row r="430" spans="1:47" ht="12.75" hidden="1">
      <c r="A430" s="27"/>
      <c r="B430" s="27" t="s">
        <v>219</v>
      </c>
      <c r="C430" s="84" t="s">
        <v>221</v>
      </c>
      <c r="D430" s="26"/>
      <c r="E430" s="171"/>
      <c r="F430" s="177"/>
      <c r="G430" s="10">
        <v>0.017</v>
      </c>
      <c r="H430" s="91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5">
        <f t="shared" si="88"/>
        <v>0</v>
      </c>
      <c r="V430" s="36"/>
      <c r="W430" s="36"/>
      <c r="X430" s="36"/>
      <c r="Y430" s="36"/>
      <c r="AA430" s="36"/>
      <c r="AB430" s="37"/>
      <c r="AC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>
        <f aca="true" t="shared" si="89" ref="AU430:AU437">SUM(AE430:AT430)</f>
        <v>0</v>
      </c>
    </row>
    <row r="431" spans="1:47" ht="12.75" hidden="1">
      <c r="A431" s="27"/>
      <c r="B431" s="27" t="s">
        <v>1651</v>
      </c>
      <c r="C431" s="84" t="s">
        <v>1652</v>
      </c>
      <c r="D431" s="26"/>
      <c r="E431" s="171"/>
      <c r="F431" s="177"/>
      <c r="G431" s="10">
        <v>0.00115547</v>
      </c>
      <c r="H431" s="91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5">
        <f t="shared" si="88"/>
        <v>0</v>
      </c>
      <c r="V431" s="36"/>
      <c r="W431" s="36"/>
      <c r="X431" s="36"/>
      <c r="Y431" s="36"/>
      <c r="AA431" s="36"/>
      <c r="AB431" s="37"/>
      <c r="AC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>
        <f t="shared" si="89"/>
        <v>0</v>
      </c>
    </row>
    <row r="432" spans="1:47" ht="12.75" hidden="1">
      <c r="A432" s="27"/>
      <c r="B432" s="27" t="s">
        <v>1653</v>
      </c>
      <c r="C432" s="84" t="s">
        <v>1655</v>
      </c>
      <c r="D432" s="26"/>
      <c r="E432" s="171"/>
      <c r="F432" s="177"/>
      <c r="G432" s="10">
        <v>0.019</v>
      </c>
      <c r="H432" s="91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5">
        <f t="shared" si="88"/>
        <v>0</v>
      </c>
      <c r="V432" s="36"/>
      <c r="W432" s="36"/>
      <c r="X432" s="36"/>
      <c r="Y432" s="36"/>
      <c r="AA432" s="36"/>
      <c r="AB432" s="37"/>
      <c r="AC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>
        <f t="shared" si="89"/>
        <v>0</v>
      </c>
    </row>
    <row r="433" spans="1:47" ht="12.75" hidden="1">
      <c r="A433" s="27"/>
      <c r="B433" s="27" t="s">
        <v>179</v>
      </c>
      <c r="C433" s="84" t="s">
        <v>180</v>
      </c>
      <c r="D433" s="26"/>
      <c r="E433" s="171"/>
      <c r="F433" s="177"/>
      <c r="G433" s="10">
        <v>0.013</v>
      </c>
      <c r="H433" s="91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5">
        <f t="shared" si="88"/>
        <v>0</v>
      </c>
      <c r="V433" s="36"/>
      <c r="W433" s="36"/>
      <c r="X433" s="36"/>
      <c r="Y433" s="36"/>
      <c r="AA433" s="36"/>
      <c r="AB433" s="37"/>
      <c r="AC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>
        <f t="shared" si="89"/>
        <v>0</v>
      </c>
    </row>
    <row r="434" spans="1:47" ht="12.75" hidden="1">
      <c r="A434" s="27"/>
      <c r="B434" s="27" t="s">
        <v>1656</v>
      </c>
      <c r="C434" s="84" t="s">
        <v>1657</v>
      </c>
      <c r="D434" s="26"/>
      <c r="E434" s="171"/>
      <c r="F434" s="177"/>
      <c r="G434" s="10">
        <v>0.021</v>
      </c>
      <c r="H434" s="91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5">
        <f t="shared" si="88"/>
        <v>0</v>
      </c>
      <c r="V434" s="36"/>
      <c r="W434" s="36"/>
      <c r="X434" s="36"/>
      <c r="Y434" s="36"/>
      <c r="AA434" s="36"/>
      <c r="AB434" s="37"/>
      <c r="AC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>
        <f t="shared" si="89"/>
        <v>0</v>
      </c>
    </row>
    <row r="435" spans="1:47" ht="12.75" hidden="1">
      <c r="A435" s="27"/>
      <c r="B435" s="27" t="s">
        <v>181</v>
      </c>
      <c r="C435" s="84" t="s">
        <v>182</v>
      </c>
      <c r="D435" s="26"/>
      <c r="E435" s="171"/>
      <c r="F435" s="177"/>
      <c r="G435" s="10">
        <v>0.011</v>
      </c>
      <c r="H435" s="91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5">
        <f t="shared" si="88"/>
        <v>0</v>
      </c>
      <c r="V435" s="36"/>
      <c r="W435" s="36"/>
      <c r="X435" s="36"/>
      <c r="Y435" s="36"/>
      <c r="AA435" s="36"/>
      <c r="AB435" s="37"/>
      <c r="AC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>
        <f t="shared" si="89"/>
        <v>0</v>
      </c>
    </row>
    <row r="436" spans="1:47" ht="12.75" hidden="1">
      <c r="A436" s="27"/>
      <c r="B436" s="27" t="s">
        <v>1266</v>
      </c>
      <c r="C436" s="84" t="s">
        <v>1267</v>
      </c>
      <c r="D436" s="26"/>
      <c r="E436" s="171"/>
      <c r="F436" s="177"/>
      <c r="G436" s="10">
        <v>0.008</v>
      </c>
      <c r="H436" s="91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5"/>
      <c r="V436" s="36"/>
      <c r="W436" s="36"/>
      <c r="X436" s="36"/>
      <c r="Y436" s="36"/>
      <c r="AA436" s="36"/>
      <c r="AB436" s="37"/>
      <c r="AC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</row>
    <row r="437" spans="1:47" ht="12.75" hidden="1">
      <c r="A437" s="27"/>
      <c r="B437" s="27" t="s">
        <v>1658</v>
      </c>
      <c r="C437" s="84" t="s">
        <v>1659</v>
      </c>
      <c r="D437" s="26"/>
      <c r="E437" s="171"/>
      <c r="F437" s="177"/>
      <c r="G437" s="10">
        <v>0.000831</v>
      </c>
      <c r="H437" s="91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5">
        <f t="shared" si="88"/>
        <v>0</v>
      </c>
      <c r="V437" s="36"/>
      <c r="W437" s="36"/>
      <c r="X437" s="36"/>
      <c r="Y437" s="36"/>
      <c r="AA437" s="36"/>
      <c r="AB437" s="37"/>
      <c r="AC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>
        <f t="shared" si="89"/>
        <v>0</v>
      </c>
    </row>
    <row r="438" spans="1:47" ht="12.75" hidden="1">
      <c r="A438" s="27"/>
      <c r="B438" s="27" t="s">
        <v>138</v>
      </c>
      <c r="C438" s="84" t="s">
        <v>139</v>
      </c>
      <c r="D438" s="26"/>
      <c r="E438" s="171"/>
      <c r="F438" s="177"/>
      <c r="G438" s="10">
        <v>0.008</v>
      </c>
      <c r="H438" s="91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5">
        <f t="shared" si="88"/>
        <v>0</v>
      </c>
      <c r="V438" s="36"/>
      <c r="W438" s="36"/>
      <c r="X438" s="36"/>
      <c r="Y438" s="36"/>
      <c r="AA438" s="36"/>
      <c r="AB438" s="37"/>
      <c r="AC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</row>
    <row r="439" spans="1:47" ht="12.75" hidden="1">
      <c r="A439" s="27"/>
      <c r="B439" s="27" t="s">
        <v>183</v>
      </c>
      <c r="C439" s="84" t="s">
        <v>184</v>
      </c>
      <c r="D439" s="26"/>
      <c r="E439" s="171"/>
      <c r="F439" s="177"/>
      <c r="G439" s="10">
        <v>0.036</v>
      </c>
      <c r="H439" s="91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5">
        <f t="shared" si="88"/>
        <v>0</v>
      </c>
      <c r="V439" s="36"/>
      <c r="W439" s="36"/>
      <c r="X439" s="36"/>
      <c r="Y439" s="36"/>
      <c r="AA439" s="36"/>
      <c r="AB439" s="37"/>
      <c r="AC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>
        <f>SUM(AE439:AT439)</f>
        <v>0</v>
      </c>
    </row>
    <row r="440" spans="1:47" ht="12.75" hidden="1">
      <c r="A440" s="27"/>
      <c r="B440" s="27" t="s">
        <v>185</v>
      </c>
      <c r="C440" s="84" t="s">
        <v>186</v>
      </c>
      <c r="D440" s="26"/>
      <c r="E440" s="171"/>
      <c r="F440" s="177"/>
      <c r="G440" s="10">
        <v>0.001</v>
      </c>
      <c r="H440" s="91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5">
        <f t="shared" si="88"/>
        <v>0</v>
      </c>
      <c r="V440" s="36"/>
      <c r="W440" s="36"/>
      <c r="X440" s="36"/>
      <c r="Y440" s="36"/>
      <c r="AA440" s="36"/>
      <c r="AB440" s="37"/>
      <c r="AC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>
        <f>SUM(AE440:AT440)</f>
        <v>0</v>
      </c>
    </row>
    <row r="441" spans="1:47" ht="12.75" hidden="1">
      <c r="A441" s="27"/>
      <c r="B441" s="27" t="s">
        <v>187</v>
      </c>
      <c r="C441" s="84" t="s">
        <v>188</v>
      </c>
      <c r="D441" s="26"/>
      <c r="E441" s="171"/>
      <c r="F441" s="177"/>
      <c r="G441" s="10">
        <v>0.004</v>
      </c>
      <c r="H441" s="91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5">
        <f t="shared" si="88"/>
        <v>0</v>
      </c>
      <c r="V441" s="36"/>
      <c r="W441" s="36"/>
      <c r="X441" s="36"/>
      <c r="Y441" s="36"/>
      <c r="AA441" s="36"/>
      <c r="AB441" s="37"/>
      <c r="AC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>
        <f>SUM(AE441:AT441)</f>
        <v>0</v>
      </c>
    </row>
    <row r="442" spans="1:47" ht="12.75" hidden="1">
      <c r="A442" s="27"/>
      <c r="B442" s="27" t="s">
        <v>189</v>
      </c>
      <c r="C442" s="84" t="s">
        <v>190</v>
      </c>
      <c r="D442" s="26"/>
      <c r="E442" s="171"/>
      <c r="F442" s="177"/>
      <c r="G442" s="10">
        <v>0.006</v>
      </c>
      <c r="H442" s="91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5">
        <f t="shared" si="88"/>
        <v>0</v>
      </c>
      <c r="V442" s="36"/>
      <c r="W442" s="36"/>
      <c r="X442" s="36"/>
      <c r="Y442" s="36"/>
      <c r="AA442" s="36"/>
      <c r="AB442" s="37"/>
      <c r="AC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>
        <f>SUM(AE442:AT442)</f>
        <v>0</v>
      </c>
    </row>
    <row r="443" spans="1:47" ht="12.75" hidden="1">
      <c r="A443" s="27"/>
      <c r="B443" s="27" t="s">
        <v>191</v>
      </c>
      <c r="C443" s="84" t="s">
        <v>192</v>
      </c>
      <c r="D443" s="26"/>
      <c r="E443" s="171"/>
      <c r="F443" s="177"/>
      <c r="G443" s="10">
        <v>0.029</v>
      </c>
      <c r="H443" s="91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5">
        <f t="shared" si="88"/>
        <v>0</v>
      </c>
      <c r="V443" s="36"/>
      <c r="W443" s="36"/>
      <c r="X443" s="36"/>
      <c r="Y443" s="36"/>
      <c r="AA443" s="36"/>
      <c r="AB443" s="37"/>
      <c r="AC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>
        <f>SUM(AE443:AT443)</f>
        <v>0</v>
      </c>
    </row>
    <row r="444" spans="1:47" ht="12.75" hidden="1">
      <c r="A444" s="27"/>
      <c r="B444" s="27" t="s">
        <v>140</v>
      </c>
      <c r="C444" s="84" t="s">
        <v>141</v>
      </c>
      <c r="D444" s="26"/>
      <c r="E444" s="171"/>
      <c r="F444" s="177"/>
      <c r="G444" s="10">
        <v>0.032</v>
      </c>
      <c r="H444" s="91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5">
        <f t="shared" si="88"/>
        <v>0</v>
      </c>
      <c r="V444" s="36"/>
      <c r="W444" s="36"/>
      <c r="X444" s="36"/>
      <c r="Y444" s="36"/>
      <c r="AA444" s="36"/>
      <c r="AB444" s="37"/>
      <c r="AC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</row>
    <row r="445" spans="1:47" ht="12.75" hidden="1">
      <c r="A445" s="27"/>
      <c r="B445" s="27" t="s">
        <v>1268</v>
      </c>
      <c r="C445" s="84" t="s">
        <v>1269</v>
      </c>
      <c r="D445" s="26"/>
      <c r="E445" s="171"/>
      <c r="F445" s="177"/>
      <c r="G445" s="10">
        <v>0.003</v>
      </c>
      <c r="H445" s="91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5"/>
      <c r="V445" s="36"/>
      <c r="W445" s="36"/>
      <c r="X445" s="36"/>
      <c r="Y445" s="36"/>
      <c r="AA445" s="36"/>
      <c r="AB445" s="37"/>
      <c r="AC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</row>
    <row r="446" spans="1:47" ht="12.75" hidden="1">
      <c r="A446" s="27"/>
      <c r="B446" s="27" t="s">
        <v>193</v>
      </c>
      <c r="C446" s="84" t="s">
        <v>194</v>
      </c>
      <c r="D446" s="26"/>
      <c r="E446" s="171"/>
      <c r="F446" s="177"/>
      <c r="G446" s="10">
        <v>0.051</v>
      </c>
      <c r="H446" s="91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5">
        <f t="shared" si="88"/>
        <v>0</v>
      </c>
      <c r="V446" s="36"/>
      <c r="W446" s="36"/>
      <c r="X446" s="36"/>
      <c r="Y446" s="36"/>
      <c r="AA446" s="36"/>
      <c r="AB446" s="37"/>
      <c r="AC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>
        <f>SUM(AE446:AT446)</f>
        <v>0</v>
      </c>
    </row>
    <row r="447" spans="1:47" ht="12.75" hidden="1">
      <c r="A447" s="27">
        <f>LEFT(A416,6)</f>
      </c>
      <c r="B447" s="27" t="s">
        <v>1660</v>
      </c>
      <c r="C447" s="84" t="s">
        <v>1661</v>
      </c>
      <c r="D447" s="26"/>
      <c r="E447" s="171"/>
      <c r="F447" s="177"/>
      <c r="G447" s="10">
        <v>0.025</v>
      </c>
      <c r="H447" s="91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5">
        <f t="shared" si="88"/>
        <v>0</v>
      </c>
      <c r="V447" s="36"/>
      <c r="W447" s="36"/>
      <c r="X447" s="36"/>
      <c r="Y447" s="36"/>
      <c r="AA447" s="36"/>
      <c r="AB447" s="37"/>
      <c r="AC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>
        <f>SUM(AE447:AT447)</f>
        <v>0</v>
      </c>
    </row>
    <row r="448" spans="1:47" ht="12.75" hidden="1">
      <c r="A448" s="27"/>
      <c r="B448" s="27" t="s">
        <v>195</v>
      </c>
      <c r="C448" s="84" t="s">
        <v>196</v>
      </c>
      <c r="D448" s="26"/>
      <c r="E448" s="171"/>
      <c r="F448" s="177"/>
      <c r="G448" s="10">
        <v>0.002</v>
      </c>
      <c r="H448" s="91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5">
        <f t="shared" si="88"/>
        <v>0</v>
      </c>
      <c r="V448" s="36"/>
      <c r="W448" s="36"/>
      <c r="X448" s="36"/>
      <c r="Y448" s="36"/>
      <c r="AA448" s="36"/>
      <c r="AB448" s="37"/>
      <c r="AC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>
        <f>SUM(AE448:AT448)</f>
        <v>0</v>
      </c>
    </row>
    <row r="449" spans="1:47" ht="12.75" hidden="1">
      <c r="A449" s="27"/>
      <c r="B449" s="27" t="s">
        <v>575</v>
      </c>
      <c r="C449" s="84" t="s">
        <v>576</v>
      </c>
      <c r="D449" s="26"/>
      <c r="E449" s="171"/>
      <c r="F449" s="177"/>
      <c r="G449" s="10">
        <v>0.01</v>
      </c>
      <c r="H449" s="91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5">
        <f t="shared" si="88"/>
        <v>0</v>
      </c>
      <c r="V449" s="36"/>
      <c r="W449" s="36"/>
      <c r="X449" s="36"/>
      <c r="Y449" s="36"/>
      <c r="AA449" s="36"/>
      <c r="AB449" s="37"/>
      <c r="AC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</row>
    <row r="450" spans="1:47" ht="12.75" hidden="1">
      <c r="A450" s="27"/>
      <c r="B450" s="27" t="s">
        <v>142</v>
      </c>
      <c r="C450" s="84" t="s">
        <v>143</v>
      </c>
      <c r="D450" s="26"/>
      <c r="E450" s="171"/>
      <c r="F450" s="177"/>
      <c r="G450" s="10">
        <v>0.001</v>
      </c>
      <c r="H450" s="91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5">
        <f t="shared" si="88"/>
        <v>0</v>
      </c>
      <c r="V450" s="36"/>
      <c r="W450" s="36"/>
      <c r="X450" s="36"/>
      <c r="Y450" s="36"/>
      <c r="AA450" s="36"/>
      <c r="AB450" s="37"/>
      <c r="AC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</row>
    <row r="451" spans="1:47" ht="12.75" hidden="1">
      <c r="A451" s="27">
        <f>LEFT(A418,6)</f>
      </c>
      <c r="B451" s="27" t="s">
        <v>1662</v>
      </c>
      <c r="C451" s="84" t="s">
        <v>1663</v>
      </c>
      <c r="D451" s="26"/>
      <c r="E451" s="171"/>
      <c r="F451" s="177"/>
      <c r="G451" s="10">
        <v>0.028</v>
      </c>
      <c r="H451" s="91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5">
        <f t="shared" si="88"/>
        <v>0</v>
      </c>
      <c r="V451" s="36"/>
      <c r="W451" s="36"/>
      <c r="X451" s="36"/>
      <c r="Y451" s="36"/>
      <c r="AA451" s="36"/>
      <c r="AB451" s="37"/>
      <c r="AC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>
        <f>SUM(AE451:AT451)</f>
        <v>0</v>
      </c>
    </row>
    <row r="452" spans="1:47" ht="12.75" hidden="1">
      <c r="A452" s="27"/>
      <c r="B452" s="27" t="s">
        <v>1270</v>
      </c>
      <c r="C452" s="84" t="s">
        <v>1271</v>
      </c>
      <c r="D452" s="26"/>
      <c r="E452" s="171"/>
      <c r="F452" s="177"/>
      <c r="G452" s="10">
        <v>0.017</v>
      </c>
      <c r="H452" s="91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5"/>
      <c r="V452" s="36"/>
      <c r="W452" s="36"/>
      <c r="X452" s="36"/>
      <c r="Y452" s="36"/>
      <c r="AA452" s="36"/>
      <c r="AB452" s="37"/>
      <c r="AC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</row>
    <row r="453" spans="1:47" ht="12.75" hidden="1">
      <c r="A453" s="27"/>
      <c r="B453" s="27" t="s">
        <v>1664</v>
      </c>
      <c r="C453" s="84" t="s">
        <v>1665</v>
      </c>
      <c r="D453" s="26"/>
      <c r="E453" s="171"/>
      <c r="F453" s="177"/>
      <c r="G453" s="10">
        <v>0.0074692</v>
      </c>
      <c r="H453" s="91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5">
        <f t="shared" si="88"/>
        <v>0</v>
      </c>
      <c r="V453" s="36"/>
      <c r="W453" s="36"/>
      <c r="X453" s="36"/>
      <c r="Y453" s="36"/>
      <c r="AA453" s="36"/>
      <c r="AB453" s="37"/>
      <c r="AC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>
        <f>SUM(AE453:AT453)</f>
        <v>0</v>
      </c>
    </row>
    <row r="454" spans="1:47" ht="12.75" hidden="1">
      <c r="A454" s="27"/>
      <c r="B454" s="27" t="s">
        <v>144</v>
      </c>
      <c r="C454" s="84" t="s">
        <v>145</v>
      </c>
      <c r="D454" s="26"/>
      <c r="E454" s="171"/>
      <c r="F454" s="177"/>
      <c r="G454" s="10">
        <v>0.007</v>
      </c>
      <c r="H454" s="91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5">
        <f t="shared" si="88"/>
        <v>0</v>
      </c>
      <c r="V454" s="36"/>
      <c r="W454" s="36"/>
      <c r="X454" s="36"/>
      <c r="Y454" s="36"/>
      <c r="AA454" s="36"/>
      <c r="AB454" s="37"/>
      <c r="AC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</row>
    <row r="455" spans="1:47" ht="12.75" hidden="1">
      <c r="A455" s="27"/>
      <c r="B455" s="27" t="s">
        <v>1666</v>
      </c>
      <c r="C455" s="84" t="s">
        <v>1667</v>
      </c>
      <c r="D455" s="26"/>
      <c r="E455" s="171"/>
      <c r="F455" s="177"/>
      <c r="G455" s="10">
        <v>0.028</v>
      </c>
      <c r="H455" s="91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5">
        <f t="shared" si="88"/>
        <v>0</v>
      </c>
      <c r="V455" s="36"/>
      <c r="W455" s="36"/>
      <c r="X455" s="36"/>
      <c r="Y455" s="36"/>
      <c r="AA455" s="36"/>
      <c r="AB455" s="37"/>
      <c r="AC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>
        <f>SUM(AE455:AT455)</f>
        <v>0</v>
      </c>
    </row>
    <row r="456" spans="1:47" ht="12.75" hidden="1">
      <c r="A456" s="27"/>
      <c r="B456" s="27" t="s">
        <v>1489</v>
      </c>
      <c r="C456" s="84" t="s">
        <v>1490</v>
      </c>
      <c r="D456" s="26"/>
      <c r="E456" s="171"/>
      <c r="F456" s="177"/>
      <c r="G456" s="10">
        <v>0.008</v>
      </c>
      <c r="H456" s="91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5">
        <f t="shared" si="88"/>
        <v>0</v>
      </c>
      <c r="V456" s="36"/>
      <c r="W456" s="36"/>
      <c r="X456" s="36"/>
      <c r="Y456" s="36"/>
      <c r="AA456" s="36"/>
      <c r="AB456" s="37"/>
      <c r="AC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</row>
    <row r="457" spans="1:47" ht="12.75" hidden="1">
      <c r="A457" s="27"/>
      <c r="B457" s="27" t="s">
        <v>577</v>
      </c>
      <c r="C457" s="84" t="s">
        <v>578</v>
      </c>
      <c r="D457" s="26"/>
      <c r="E457" s="171"/>
      <c r="F457" s="177"/>
      <c r="G457" s="10">
        <v>0.127</v>
      </c>
      <c r="H457" s="91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5">
        <f t="shared" si="88"/>
        <v>0</v>
      </c>
      <c r="V457" s="36"/>
      <c r="W457" s="36"/>
      <c r="X457" s="36"/>
      <c r="Y457" s="36"/>
      <c r="AA457" s="36"/>
      <c r="AB457" s="37"/>
      <c r="AC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</row>
    <row r="458" spans="1:47" ht="12.75" hidden="1">
      <c r="A458" s="27"/>
      <c r="B458" s="27" t="s">
        <v>197</v>
      </c>
      <c r="C458" s="84" t="s">
        <v>198</v>
      </c>
      <c r="D458" s="26"/>
      <c r="E458" s="171"/>
      <c r="F458" s="177"/>
      <c r="G458" s="10">
        <v>0.025</v>
      </c>
      <c r="H458" s="91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5">
        <f t="shared" si="88"/>
        <v>0</v>
      </c>
      <c r="V458" s="36"/>
      <c r="W458" s="36"/>
      <c r="X458" s="36"/>
      <c r="Y458" s="36"/>
      <c r="AA458" s="36"/>
      <c r="AB458" s="37"/>
      <c r="AC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>
        <f>SUM(AE458:AT458)</f>
        <v>0</v>
      </c>
    </row>
    <row r="459" spans="1:47" ht="12.75" hidden="1">
      <c r="A459" s="27"/>
      <c r="B459" s="27" t="s">
        <v>146</v>
      </c>
      <c r="C459" s="84" t="s">
        <v>147</v>
      </c>
      <c r="D459" s="26"/>
      <c r="E459" s="171"/>
      <c r="F459" s="177"/>
      <c r="G459" s="10">
        <v>0.014</v>
      </c>
      <c r="H459" s="91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5">
        <f t="shared" si="88"/>
        <v>0</v>
      </c>
      <c r="V459" s="36"/>
      <c r="W459" s="36"/>
      <c r="X459" s="36"/>
      <c r="Y459" s="36"/>
      <c r="AA459" s="36"/>
      <c r="AB459" s="37"/>
      <c r="AC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</row>
    <row r="460" spans="1:47" ht="12.75" hidden="1">
      <c r="A460" s="27"/>
      <c r="B460" s="27" t="s">
        <v>1491</v>
      </c>
      <c r="C460" s="84" t="s">
        <v>1492</v>
      </c>
      <c r="D460" s="26"/>
      <c r="E460" s="171"/>
      <c r="F460" s="177"/>
      <c r="G460" s="10">
        <v>0.031</v>
      </c>
      <c r="H460" s="91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5">
        <f t="shared" si="88"/>
        <v>0</v>
      </c>
      <c r="V460" s="36"/>
      <c r="W460" s="36"/>
      <c r="X460" s="36"/>
      <c r="Y460" s="36"/>
      <c r="AA460" s="36"/>
      <c r="AB460" s="37"/>
      <c r="AC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</row>
    <row r="461" spans="1:47" ht="12.75" hidden="1">
      <c r="A461" s="27" t="e">
        <f>LEFT(#REF!,6)</f>
        <v>#REF!</v>
      </c>
      <c r="B461" s="27" t="s">
        <v>1668</v>
      </c>
      <c r="C461" s="84" t="s">
        <v>1669</v>
      </c>
      <c r="D461" s="26"/>
      <c r="E461" s="171"/>
      <c r="F461" s="177"/>
      <c r="G461" s="10">
        <v>0.007</v>
      </c>
      <c r="H461" s="91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5">
        <f t="shared" si="88"/>
        <v>0</v>
      </c>
      <c r="V461" s="36"/>
      <c r="W461" s="36"/>
      <c r="X461" s="36"/>
      <c r="Y461" s="36"/>
      <c r="AA461" s="36"/>
      <c r="AB461" s="37"/>
      <c r="AC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>
        <f>SUM(AE461:AT461)</f>
        <v>0</v>
      </c>
    </row>
    <row r="462" spans="1:47" ht="12.75" hidden="1">
      <c r="A462" s="27"/>
      <c r="B462" s="27" t="s">
        <v>1493</v>
      </c>
      <c r="C462" s="84" t="s">
        <v>1494</v>
      </c>
      <c r="D462" s="26"/>
      <c r="E462" s="171"/>
      <c r="F462" s="177"/>
      <c r="G462" s="10">
        <v>0</v>
      </c>
      <c r="H462" s="91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5">
        <f t="shared" si="88"/>
        <v>0</v>
      </c>
      <c r="V462" s="36"/>
      <c r="W462" s="36"/>
      <c r="X462" s="36"/>
      <c r="Y462" s="36"/>
      <c r="AA462" s="36"/>
      <c r="AB462" s="37"/>
      <c r="AC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</row>
    <row r="463" spans="1:47" ht="12.75" hidden="1">
      <c r="A463" s="27"/>
      <c r="B463" s="27" t="s">
        <v>199</v>
      </c>
      <c r="C463" s="84" t="s">
        <v>200</v>
      </c>
      <c r="D463" s="26"/>
      <c r="E463" s="171"/>
      <c r="F463" s="177"/>
      <c r="G463" s="10">
        <v>0.006</v>
      </c>
      <c r="H463" s="91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5">
        <f t="shared" si="88"/>
        <v>0</v>
      </c>
      <c r="V463" s="36"/>
      <c r="W463" s="36"/>
      <c r="X463" s="36"/>
      <c r="Y463" s="36"/>
      <c r="AA463" s="36"/>
      <c r="AB463" s="37"/>
      <c r="AC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>
        <f aca="true" t="shared" si="90" ref="AU463:AU470">SUM(AE463:AT463)</f>
        <v>0</v>
      </c>
    </row>
    <row r="464" spans="1:47" ht="12.75" hidden="1">
      <c r="A464" s="27">
        <f>LEFT(A421,6)</f>
      </c>
      <c r="B464" s="27" t="s">
        <v>1670</v>
      </c>
      <c r="C464" s="84" t="s">
        <v>1671</v>
      </c>
      <c r="D464" s="26"/>
      <c r="E464" s="171"/>
      <c r="F464" s="177"/>
      <c r="G464" s="10">
        <v>0.0011425</v>
      </c>
      <c r="H464" s="91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5">
        <f t="shared" si="88"/>
        <v>0</v>
      </c>
      <c r="V464" s="36"/>
      <c r="W464" s="36"/>
      <c r="X464" s="36"/>
      <c r="Y464" s="36"/>
      <c r="AA464" s="36"/>
      <c r="AB464" s="37"/>
      <c r="AC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>
        <f t="shared" si="90"/>
        <v>0</v>
      </c>
    </row>
    <row r="465" spans="1:47" ht="12.75" hidden="1">
      <c r="A465" s="27"/>
      <c r="B465" s="27" t="s">
        <v>201</v>
      </c>
      <c r="C465" s="84" t="s">
        <v>202</v>
      </c>
      <c r="D465" s="26"/>
      <c r="E465" s="171"/>
      <c r="F465" s="177"/>
      <c r="G465" s="10">
        <v>0.002</v>
      </c>
      <c r="H465" s="91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5">
        <f t="shared" si="88"/>
        <v>0</v>
      </c>
      <c r="V465" s="36"/>
      <c r="W465" s="36"/>
      <c r="X465" s="36"/>
      <c r="Y465" s="36"/>
      <c r="AA465" s="36"/>
      <c r="AB465" s="37"/>
      <c r="AC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>
        <f t="shared" si="90"/>
        <v>0</v>
      </c>
    </row>
    <row r="466" spans="2:47" ht="12.75">
      <c r="B466" s="252" t="s">
        <v>1460</v>
      </c>
      <c r="C466" s="103" t="s">
        <v>1361</v>
      </c>
      <c r="D466" s="103">
        <f>2.102-0.1</f>
        <v>2.002</v>
      </c>
      <c r="E466" s="24">
        <v>38078</v>
      </c>
      <c r="F466" s="169">
        <v>38442</v>
      </c>
      <c r="G466" s="10">
        <f>SUM(G424:G465)</f>
        <v>0.6905981700000003</v>
      </c>
      <c r="H466" s="91">
        <v>0</v>
      </c>
      <c r="I466" s="13">
        <v>0</v>
      </c>
      <c r="J466" s="13">
        <v>0</v>
      </c>
      <c r="K466" s="13">
        <v>0</v>
      </c>
      <c r="L466" s="13">
        <v>0.222</v>
      </c>
      <c r="M466" s="13">
        <v>0.222</v>
      </c>
      <c r="N466" s="13">
        <v>0.222</v>
      </c>
      <c r="O466" s="13">
        <v>0</v>
      </c>
      <c r="P466" s="13">
        <v>0</v>
      </c>
      <c r="Q466" s="13">
        <v>0</v>
      </c>
      <c r="R466" s="13">
        <v>0</v>
      </c>
      <c r="S466" s="13">
        <f>1.88-0.444</f>
        <v>1.436</v>
      </c>
      <c r="T466" s="5">
        <f t="shared" si="88"/>
        <v>0.666</v>
      </c>
      <c r="V466" s="36"/>
      <c r="W466" s="36"/>
      <c r="X466" s="36"/>
      <c r="Y466" s="36"/>
      <c r="AA466" s="36">
        <f>SUM(AE466:AT466)</f>
        <v>2.002</v>
      </c>
      <c r="AB466" s="37"/>
      <c r="AC466" s="37">
        <f>SUM(V466:AB466)</f>
        <v>2.002</v>
      </c>
      <c r="AE466" s="37"/>
      <c r="AF466" s="37"/>
      <c r="AG466" s="37"/>
      <c r="AH466" s="37"/>
      <c r="AI466" s="37"/>
      <c r="AJ466" s="37">
        <f>2.102-0.1</f>
        <v>2.002</v>
      </c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>
        <f t="shared" si="90"/>
        <v>2.002</v>
      </c>
    </row>
    <row r="467" spans="3:47" ht="12.75" hidden="1">
      <c r="C467" s="5" t="s">
        <v>1417</v>
      </c>
      <c r="D467" s="5"/>
      <c r="E467" s="24"/>
      <c r="G467" s="10"/>
      <c r="H467" s="91">
        <f aca="true" t="shared" si="91" ref="H467:S468">$D467/12</f>
        <v>0</v>
      </c>
      <c r="I467" s="13">
        <f t="shared" si="91"/>
        <v>0</v>
      </c>
      <c r="J467" s="13">
        <f t="shared" si="91"/>
        <v>0</v>
      </c>
      <c r="K467" s="13">
        <f t="shared" si="91"/>
        <v>0</v>
      </c>
      <c r="L467" s="13">
        <f t="shared" si="91"/>
        <v>0</v>
      </c>
      <c r="M467" s="13">
        <f t="shared" si="91"/>
        <v>0</v>
      </c>
      <c r="N467" s="13">
        <f t="shared" si="91"/>
        <v>0</v>
      </c>
      <c r="O467" s="13">
        <f t="shared" si="91"/>
        <v>0</v>
      </c>
      <c r="P467" s="13">
        <f t="shared" si="91"/>
        <v>0</v>
      </c>
      <c r="Q467" s="13">
        <f t="shared" si="91"/>
        <v>0</v>
      </c>
      <c r="R467" s="13">
        <f t="shared" si="91"/>
        <v>0</v>
      </c>
      <c r="S467" s="13">
        <f t="shared" si="91"/>
        <v>0</v>
      </c>
      <c r="T467" s="5">
        <f t="shared" si="88"/>
        <v>0</v>
      </c>
      <c r="V467" s="36"/>
      <c r="W467" s="36"/>
      <c r="X467" s="36"/>
      <c r="Y467" s="36"/>
      <c r="AA467" s="36">
        <f>SUM(AE467:AT467)</f>
        <v>0</v>
      </c>
      <c r="AB467" s="37"/>
      <c r="AC467" s="37">
        <f>SUM(V467:AB467)</f>
        <v>0</v>
      </c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>
        <f t="shared" si="90"/>
        <v>0</v>
      </c>
    </row>
    <row r="468" spans="3:47" ht="12.75" hidden="1">
      <c r="C468" s="5" t="s">
        <v>1418</v>
      </c>
      <c r="D468" s="5"/>
      <c r="E468" s="24"/>
      <c r="G468" s="10"/>
      <c r="H468" s="91">
        <f t="shared" si="91"/>
        <v>0</v>
      </c>
      <c r="I468" s="13">
        <f t="shared" si="91"/>
        <v>0</v>
      </c>
      <c r="J468" s="13">
        <f t="shared" si="91"/>
        <v>0</v>
      </c>
      <c r="K468" s="13">
        <f t="shared" si="91"/>
        <v>0</v>
      </c>
      <c r="L468" s="13">
        <f t="shared" si="91"/>
        <v>0</v>
      </c>
      <c r="M468" s="13">
        <f t="shared" si="91"/>
        <v>0</v>
      </c>
      <c r="N468" s="13">
        <f t="shared" si="91"/>
        <v>0</v>
      </c>
      <c r="O468" s="13">
        <f t="shared" si="91"/>
        <v>0</v>
      </c>
      <c r="P468" s="13">
        <f t="shared" si="91"/>
        <v>0</v>
      </c>
      <c r="Q468" s="13">
        <f t="shared" si="91"/>
        <v>0</v>
      </c>
      <c r="R468" s="13">
        <f t="shared" si="91"/>
        <v>0</v>
      </c>
      <c r="S468" s="13">
        <f t="shared" si="91"/>
        <v>0</v>
      </c>
      <c r="T468" s="5">
        <f t="shared" si="88"/>
        <v>0</v>
      </c>
      <c r="V468" s="36"/>
      <c r="W468" s="36"/>
      <c r="X468" s="36"/>
      <c r="Y468" s="36"/>
      <c r="AA468" s="36">
        <f>SUM(AE468:AT468)</f>
        <v>0</v>
      </c>
      <c r="AB468" s="37"/>
      <c r="AC468" s="37">
        <f>SUM(V468:AB468)</f>
        <v>0</v>
      </c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>
        <f t="shared" si="90"/>
        <v>0</v>
      </c>
    </row>
    <row r="469" spans="2:47" ht="12.75" hidden="1">
      <c r="B469" s="27" t="s">
        <v>1672</v>
      </c>
      <c r="C469" s="84" t="s">
        <v>1673</v>
      </c>
      <c r="D469" s="26"/>
      <c r="E469" s="171"/>
      <c r="F469" s="171"/>
      <c r="G469" s="26">
        <v>0.0016785</v>
      </c>
      <c r="H469" s="91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5">
        <f t="shared" si="88"/>
        <v>0</v>
      </c>
      <c r="V469" s="36"/>
      <c r="W469" s="36"/>
      <c r="X469" s="36"/>
      <c r="Y469" s="36"/>
      <c r="AA469" s="36"/>
      <c r="AB469" s="37"/>
      <c r="AC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>
        <f t="shared" si="90"/>
        <v>0</v>
      </c>
    </row>
    <row r="470" spans="2:47" ht="11.25" customHeight="1">
      <c r="B470" s="252" t="s">
        <v>1460</v>
      </c>
      <c r="C470" s="5" t="s">
        <v>572</v>
      </c>
      <c r="D470" s="5">
        <v>0.019</v>
      </c>
      <c r="F470" s="169">
        <v>38412</v>
      </c>
      <c r="G470" s="10">
        <f>G469</f>
        <v>0.0016785</v>
      </c>
      <c r="H470" s="91">
        <v>0.002</v>
      </c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>
        <v>0.017</v>
      </c>
      <c r="T470" s="5">
        <f t="shared" si="88"/>
        <v>0.002</v>
      </c>
      <c r="V470" s="36">
        <v>0.019</v>
      </c>
      <c r="W470" s="36"/>
      <c r="X470" s="36"/>
      <c r="Y470" s="36"/>
      <c r="AA470" s="36">
        <f>SUM(AE470:AT470)</f>
        <v>0</v>
      </c>
      <c r="AB470" s="37"/>
      <c r="AC470" s="37">
        <f>SUM(V470:AB470)</f>
        <v>0.019</v>
      </c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>
        <f t="shared" si="90"/>
        <v>0</v>
      </c>
    </row>
    <row r="471" spans="2:47" ht="12.75" hidden="1">
      <c r="B471" s="27" t="s">
        <v>1497</v>
      </c>
      <c r="C471" s="84" t="s">
        <v>1498</v>
      </c>
      <c r="D471" s="26"/>
      <c r="E471" s="171"/>
      <c r="F471" s="171"/>
      <c r="G471" s="26">
        <v>0.002</v>
      </c>
      <c r="H471" s="91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5"/>
      <c r="V471" s="36"/>
      <c r="W471" s="36"/>
      <c r="X471" s="36"/>
      <c r="Y471" s="36"/>
      <c r="Z471" s="36"/>
      <c r="AA471" s="36"/>
      <c r="AB471" s="37"/>
      <c r="AC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</row>
    <row r="472" spans="2:47" ht="12.75" hidden="1">
      <c r="B472" s="27" t="s">
        <v>1495</v>
      </c>
      <c r="C472" s="84" t="s">
        <v>1496</v>
      </c>
      <c r="D472" s="26"/>
      <c r="E472" s="171"/>
      <c r="F472" s="171"/>
      <c r="G472" s="26">
        <v>0.002</v>
      </c>
      <c r="H472" s="91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5"/>
      <c r="V472" s="36"/>
      <c r="W472" s="36"/>
      <c r="X472" s="36"/>
      <c r="Y472" s="36"/>
      <c r="Z472" s="36"/>
      <c r="AA472" s="36"/>
      <c r="AB472" s="37"/>
      <c r="AC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</row>
    <row r="473" spans="2:47" ht="12.75" hidden="1">
      <c r="B473" s="27" t="s">
        <v>208</v>
      </c>
      <c r="C473" s="84" t="s">
        <v>209</v>
      </c>
      <c r="D473" s="26"/>
      <c r="E473" s="171"/>
      <c r="F473" s="171"/>
      <c r="G473" s="26">
        <v>0.008</v>
      </c>
      <c r="H473" s="91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5"/>
      <c r="V473" s="36"/>
      <c r="W473" s="36"/>
      <c r="X473" s="36"/>
      <c r="Y473" s="36"/>
      <c r="Z473" s="36"/>
      <c r="AA473" s="36"/>
      <c r="AB473" s="37"/>
      <c r="AC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>
        <f>SUM(AE473:AT473)</f>
        <v>0</v>
      </c>
    </row>
    <row r="474" spans="2:47" ht="11.25" customHeight="1">
      <c r="B474" s="252" t="s">
        <v>1460</v>
      </c>
      <c r="C474" s="5" t="s">
        <v>571</v>
      </c>
      <c r="D474" s="5">
        <v>0.062</v>
      </c>
      <c r="F474" s="169">
        <v>38412</v>
      </c>
      <c r="G474" s="10">
        <f>SUM(G471:G473)</f>
        <v>0.012</v>
      </c>
      <c r="H474" s="91">
        <v>0</v>
      </c>
      <c r="I474" s="13">
        <v>0</v>
      </c>
      <c r="J474" s="13">
        <v>0</v>
      </c>
      <c r="K474" s="13">
        <v>0.009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0.053</v>
      </c>
      <c r="T474" s="5">
        <f aca="true" t="shared" si="92" ref="T474:T485">SUM(H474:N474)</f>
        <v>0.009</v>
      </c>
      <c r="V474" s="36"/>
      <c r="W474" s="36"/>
      <c r="X474" s="36"/>
      <c r="Y474" s="36"/>
      <c r="Z474" s="36"/>
      <c r="AA474" s="36">
        <f>SUM(AE474:AT474)</f>
        <v>0.062</v>
      </c>
      <c r="AB474" s="37"/>
      <c r="AC474" s="37">
        <f>SUM(V474:AB474)</f>
        <v>0.062</v>
      </c>
      <c r="AE474" s="37"/>
      <c r="AF474" s="37"/>
      <c r="AG474" s="37">
        <v>0.062</v>
      </c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>
        <f>SUM(AE474:AT474)</f>
        <v>0.062</v>
      </c>
    </row>
    <row r="475" spans="2:47" ht="12.75" hidden="1">
      <c r="B475" s="27" t="s">
        <v>1674</v>
      </c>
      <c r="C475" s="84" t="s">
        <v>1675</v>
      </c>
      <c r="D475" s="26"/>
      <c r="E475" s="171"/>
      <c r="F475" s="171"/>
      <c r="G475" s="26">
        <v>0.00094258</v>
      </c>
      <c r="H475" s="91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5">
        <f t="shared" si="92"/>
        <v>0</v>
      </c>
      <c r="V475" s="36"/>
      <c r="W475" s="36"/>
      <c r="X475" s="36"/>
      <c r="Y475" s="36"/>
      <c r="Z475" s="36"/>
      <c r="AA475" s="36"/>
      <c r="AB475" s="37"/>
      <c r="AC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>
        <f>SUM(AE475:AT475)</f>
        <v>0</v>
      </c>
    </row>
    <row r="476" spans="2:47" ht="12.75" hidden="1">
      <c r="B476" s="27" t="s">
        <v>1676</v>
      </c>
      <c r="C476" s="84" t="s">
        <v>1677</v>
      </c>
      <c r="D476" s="26"/>
      <c r="E476" s="171"/>
      <c r="F476" s="171"/>
      <c r="G476" s="26">
        <v>0.001</v>
      </c>
      <c r="H476" s="91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5">
        <f t="shared" si="92"/>
        <v>0</v>
      </c>
      <c r="V476" s="36"/>
      <c r="W476" s="36"/>
      <c r="X476" s="36"/>
      <c r="Y476" s="36"/>
      <c r="Z476" s="36"/>
      <c r="AA476" s="36"/>
      <c r="AB476" s="37"/>
      <c r="AC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>
        <f>SUM(AE476:AT476)</f>
        <v>0</v>
      </c>
    </row>
    <row r="477" spans="2:47" ht="12.75" hidden="1">
      <c r="B477" s="27" t="s">
        <v>210</v>
      </c>
      <c r="C477" s="84" t="s">
        <v>211</v>
      </c>
      <c r="D477" s="26"/>
      <c r="E477" s="171"/>
      <c r="F477" s="171"/>
      <c r="G477" s="26">
        <v>0.005</v>
      </c>
      <c r="H477" s="91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5">
        <f t="shared" si="92"/>
        <v>0</v>
      </c>
      <c r="V477" s="36"/>
      <c r="W477" s="36"/>
      <c r="X477" s="36"/>
      <c r="Y477" s="36"/>
      <c r="Z477" s="36"/>
      <c r="AA477" s="36"/>
      <c r="AB477" s="37"/>
      <c r="AC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>
        <f>SUM(AE477:AT477)</f>
        <v>0</v>
      </c>
    </row>
    <row r="478" spans="2:47" ht="12.75" hidden="1">
      <c r="B478" s="27" t="s">
        <v>592</v>
      </c>
      <c r="C478" s="84" t="s">
        <v>599</v>
      </c>
      <c r="D478" s="26"/>
      <c r="E478" s="171"/>
      <c r="F478" s="171"/>
      <c r="G478" s="26"/>
      <c r="H478" s="91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5">
        <f t="shared" si="92"/>
        <v>0</v>
      </c>
      <c r="V478" s="36"/>
      <c r="W478" s="36"/>
      <c r="X478" s="36"/>
      <c r="Y478" s="36"/>
      <c r="Z478" s="36"/>
      <c r="AA478" s="36"/>
      <c r="AB478" s="37"/>
      <c r="AC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</row>
    <row r="479" spans="2:47" ht="12.75" hidden="1">
      <c r="B479" s="27" t="s">
        <v>1678</v>
      </c>
      <c r="C479" s="84" t="s">
        <v>1679</v>
      </c>
      <c r="D479" s="26"/>
      <c r="E479" s="171"/>
      <c r="F479" s="171"/>
      <c r="G479" s="26">
        <v>0.005</v>
      </c>
      <c r="H479" s="91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5">
        <f t="shared" si="92"/>
        <v>0</v>
      </c>
      <c r="V479" s="36"/>
      <c r="W479" s="36"/>
      <c r="X479" s="36"/>
      <c r="Y479" s="36"/>
      <c r="Z479" s="36"/>
      <c r="AA479" s="36"/>
      <c r="AB479" s="37"/>
      <c r="AC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>
        <f>SUM(AE479:AT479)</f>
        <v>0</v>
      </c>
    </row>
    <row r="480" spans="2:47" ht="12.75" hidden="1">
      <c r="B480" s="27" t="s">
        <v>212</v>
      </c>
      <c r="C480" s="84" t="s">
        <v>213</v>
      </c>
      <c r="D480" s="26"/>
      <c r="E480" s="171"/>
      <c r="F480" s="173">
        <v>38200</v>
      </c>
      <c r="G480" s="26">
        <v>0.223</v>
      </c>
      <c r="H480" s="91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5">
        <f t="shared" si="92"/>
        <v>0</v>
      </c>
      <c r="V480" s="36"/>
      <c r="W480" s="36"/>
      <c r="X480" s="36"/>
      <c r="Y480" s="36"/>
      <c r="Z480" s="36"/>
      <c r="AA480" s="36"/>
      <c r="AB480" s="37"/>
      <c r="AC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>
        <f>SUM(AE480:AT480)</f>
        <v>0</v>
      </c>
    </row>
    <row r="481" spans="2:47" ht="12.75" hidden="1">
      <c r="B481" s="27" t="s">
        <v>593</v>
      </c>
      <c r="C481" s="84" t="s">
        <v>600</v>
      </c>
      <c r="D481" s="26"/>
      <c r="E481" s="171"/>
      <c r="F481" s="173"/>
      <c r="G481" s="26"/>
      <c r="H481" s="91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5">
        <f t="shared" si="92"/>
        <v>0</v>
      </c>
      <c r="V481" s="36"/>
      <c r="W481" s="36"/>
      <c r="X481" s="36"/>
      <c r="Y481" s="36"/>
      <c r="Z481" s="36"/>
      <c r="AA481" s="36"/>
      <c r="AB481" s="37"/>
      <c r="AC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</row>
    <row r="482" spans="2:47" ht="12.75" hidden="1">
      <c r="B482" s="27" t="s">
        <v>1680</v>
      </c>
      <c r="C482" s="84" t="s">
        <v>1681</v>
      </c>
      <c r="D482" s="26"/>
      <c r="E482" s="171"/>
      <c r="F482" s="171"/>
      <c r="G482" s="26">
        <v>0.004</v>
      </c>
      <c r="H482" s="91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5">
        <f t="shared" si="92"/>
        <v>0</v>
      </c>
      <c r="V482" s="36"/>
      <c r="W482" s="36"/>
      <c r="X482" s="36"/>
      <c r="Y482" s="36"/>
      <c r="Z482" s="36"/>
      <c r="AA482" s="36"/>
      <c r="AB482" s="37"/>
      <c r="AC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>
        <f>SUM(AE482:AT482)</f>
        <v>0</v>
      </c>
    </row>
    <row r="483" spans="2:47" ht="12.75" hidden="1">
      <c r="B483" s="27" t="s">
        <v>1682</v>
      </c>
      <c r="C483" s="84" t="s">
        <v>1683</v>
      </c>
      <c r="D483" s="26"/>
      <c r="E483" s="171"/>
      <c r="F483" s="173">
        <v>38200</v>
      </c>
      <c r="G483" s="26">
        <v>0.014</v>
      </c>
      <c r="H483" s="91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5">
        <f t="shared" si="92"/>
        <v>0</v>
      </c>
      <c r="V483" s="36"/>
      <c r="W483" s="36"/>
      <c r="X483" s="36"/>
      <c r="Y483" s="36"/>
      <c r="Z483" s="36"/>
      <c r="AA483" s="36"/>
      <c r="AB483" s="37"/>
      <c r="AC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>
        <f>SUM(AE483:AT483)</f>
        <v>0</v>
      </c>
    </row>
    <row r="484" spans="2:47" ht="12.75" hidden="1">
      <c r="B484" s="27" t="s">
        <v>594</v>
      </c>
      <c r="C484" s="84" t="s">
        <v>601</v>
      </c>
      <c r="D484" s="26"/>
      <c r="E484" s="171"/>
      <c r="F484" s="173"/>
      <c r="G484" s="26">
        <v>0.021</v>
      </c>
      <c r="H484" s="91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5">
        <f t="shared" si="92"/>
        <v>0</v>
      </c>
      <c r="V484" s="36"/>
      <c r="W484" s="36"/>
      <c r="X484" s="36"/>
      <c r="Y484" s="36"/>
      <c r="Z484" s="36"/>
      <c r="AA484" s="36"/>
      <c r="AB484" s="37"/>
      <c r="AC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</row>
    <row r="485" spans="2:47" ht="12.75" hidden="1">
      <c r="B485" s="27" t="s">
        <v>1684</v>
      </c>
      <c r="C485" s="84" t="s">
        <v>1685</v>
      </c>
      <c r="D485" s="26"/>
      <c r="E485" s="171"/>
      <c r="F485" s="173">
        <v>38200</v>
      </c>
      <c r="G485" s="26">
        <v>0.328</v>
      </c>
      <c r="H485" s="91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5">
        <f t="shared" si="92"/>
        <v>0</v>
      </c>
      <c r="V485" s="36"/>
      <c r="W485" s="36"/>
      <c r="X485" s="36"/>
      <c r="Y485" s="36"/>
      <c r="Z485" s="36"/>
      <c r="AA485" s="36"/>
      <c r="AB485" s="37"/>
      <c r="AC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>
        <f>SUM(AE485:AT485)</f>
        <v>0</v>
      </c>
    </row>
    <row r="486" spans="2:47" ht="12.75" hidden="1">
      <c r="B486" s="27" t="s">
        <v>1499</v>
      </c>
      <c r="C486" s="84" t="s">
        <v>1500</v>
      </c>
      <c r="D486" s="26"/>
      <c r="E486" s="171"/>
      <c r="F486" s="173"/>
      <c r="G486" s="26">
        <v>0.002</v>
      </c>
      <c r="H486" s="91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5"/>
      <c r="V486" s="36"/>
      <c r="W486" s="36"/>
      <c r="X486" s="36"/>
      <c r="Y486" s="36"/>
      <c r="Z486" s="36"/>
      <c r="AA486" s="36"/>
      <c r="AB486" s="37"/>
      <c r="AC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</row>
    <row r="487" spans="2:47" ht="12.75" hidden="1">
      <c r="B487" s="27" t="s">
        <v>1686</v>
      </c>
      <c r="C487" s="84" t="s">
        <v>1687</v>
      </c>
      <c r="D487" s="26"/>
      <c r="E487" s="171"/>
      <c r="F487" s="171"/>
      <c r="G487" s="26">
        <v>0.012</v>
      </c>
      <c r="H487" s="91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5">
        <f>SUM(H487:N487)</f>
        <v>0</v>
      </c>
      <c r="V487" s="36"/>
      <c r="W487" s="36"/>
      <c r="X487" s="36"/>
      <c r="Y487" s="36"/>
      <c r="Z487" s="36"/>
      <c r="AA487" s="36"/>
      <c r="AB487" s="37"/>
      <c r="AC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>
        <f>SUM(AE487:AT487)</f>
        <v>0</v>
      </c>
    </row>
    <row r="488" spans="2:47" ht="12.75" hidden="1">
      <c r="B488" s="27" t="s">
        <v>1688</v>
      </c>
      <c r="C488" s="84" t="s">
        <v>1689</v>
      </c>
      <c r="D488" s="26"/>
      <c r="E488" s="171"/>
      <c r="F488" s="171"/>
      <c r="G488" s="26">
        <v>0.012</v>
      </c>
      <c r="H488" s="91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5">
        <f>SUM(H488:N488)</f>
        <v>0</v>
      </c>
      <c r="V488" s="36"/>
      <c r="W488" s="36"/>
      <c r="X488" s="36"/>
      <c r="Y488" s="36"/>
      <c r="Z488" s="36"/>
      <c r="AA488" s="36"/>
      <c r="AB488" s="37"/>
      <c r="AC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>
        <f>SUM(AE488:AT488)</f>
        <v>0</v>
      </c>
    </row>
    <row r="489" spans="2:47" ht="12.75" hidden="1">
      <c r="B489" s="27" t="s">
        <v>1262</v>
      </c>
      <c r="C489" s="84" t="s">
        <v>1263</v>
      </c>
      <c r="D489" s="26"/>
      <c r="E489" s="171"/>
      <c r="F489" s="171"/>
      <c r="G489" s="26">
        <v>0.015</v>
      </c>
      <c r="H489" s="91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5"/>
      <c r="V489" s="36"/>
      <c r="W489" s="36"/>
      <c r="X489" s="36"/>
      <c r="Y489" s="36"/>
      <c r="Z489" s="36"/>
      <c r="AA489" s="36"/>
      <c r="AB489" s="37"/>
      <c r="AC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</row>
    <row r="490" spans="2:47" ht="12.75" hidden="1">
      <c r="B490" s="27" t="s">
        <v>1501</v>
      </c>
      <c r="C490" s="84" t="s">
        <v>1502</v>
      </c>
      <c r="D490" s="26"/>
      <c r="E490" s="171"/>
      <c r="F490" s="171"/>
      <c r="G490" s="26">
        <v>0.162</v>
      </c>
      <c r="H490" s="91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5"/>
      <c r="V490" s="36"/>
      <c r="W490" s="36"/>
      <c r="X490" s="36"/>
      <c r="Y490" s="36"/>
      <c r="Z490" s="36"/>
      <c r="AA490" s="36"/>
      <c r="AB490" s="37"/>
      <c r="AC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</row>
    <row r="491" spans="2:47" ht="12.75" hidden="1">
      <c r="B491" s="27" t="s">
        <v>598</v>
      </c>
      <c r="C491" s="84"/>
      <c r="D491" s="26"/>
      <c r="E491" s="171"/>
      <c r="F491" s="173"/>
      <c r="G491" s="26"/>
      <c r="H491" s="91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5">
        <f>SUM(H491:N491)</f>
        <v>0</v>
      </c>
      <c r="V491" s="36"/>
      <c r="W491" s="36"/>
      <c r="X491" s="36"/>
      <c r="Y491" s="36"/>
      <c r="Z491" s="36"/>
      <c r="AA491" s="36"/>
      <c r="AB491" s="37"/>
      <c r="AC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</row>
    <row r="492" spans="2:47" ht="12.75" hidden="1">
      <c r="B492" s="27" t="s">
        <v>595</v>
      </c>
      <c r="C492" s="84" t="s">
        <v>602</v>
      </c>
      <c r="D492" s="26"/>
      <c r="E492" s="171"/>
      <c r="F492" s="173"/>
      <c r="G492" s="26">
        <v>0.001</v>
      </c>
      <c r="H492" s="91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5">
        <f>SUM(H492:N492)</f>
        <v>0</v>
      </c>
      <c r="V492" s="36"/>
      <c r="W492" s="36"/>
      <c r="X492" s="36"/>
      <c r="Y492" s="36"/>
      <c r="Z492" s="36"/>
      <c r="AA492" s="36"/>
      <c r="AB492" s="37"/>
      <c r="AC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</row>
    <row r="493" spans="2:47" ht="12.75" hidden="1">
      <c r="B493" s="27" t="s">
        <v>223</v>
      </c>
      <c r="C493" s="84" t="s">
        <v>224</v>
      </c>
      <c r="D493" s="26"/>
      <c r="E493" s="171"/>
      <c r="F493" s="173"/>
      <c r="G493" s="26">
        <v>0.003</v>
      </c>
      <c r="H493" s="91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5">
        <f>SUM(H493:N493)</f>
        <v>0</v>
      </c>
      <c r="V493" s="36"/>
      <c r="W493" s="36"/>
      <c r="X493" s="36"/>
      <c r="Y493" s="36"/>
      <c r="Z493" s="36"/>
      <c r="AA493" s="36"/>
      <c r="AB493" s="37"/>
      <c r="AC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</row>
    <row r="494" spans="2:47" ht="12.75" hidden="1">
      <c r="B494" s="27" t="s">
        <v>596</v>
      </c>
      <c r="C494" s="84" t="s">
        <v>603</v>
      </c>
      <c r="D494" s="26"/>
      <c r="E494" s="171"/>
      <c r="F494" s="173"/>
      <c r="G494" s="26">
        <v>0.001</v>
      </c>
      <c r="H494" s="91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5">
        <f>SUM(H494:N494)</f>
        <v>0</v>
      </c>
      <c r="V494" s="36"/>
      <c r="W494" s="36"/>
      <c r="X494" s="36"/>
      <c r="Y494" s="36"/>
      <c r="Z494" s="36"/>
      <c r="AA494" s="36"/>
      <c r="AB494" s="37"/>
      <c r="AC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</row>
    <row r="495" spans="2:47" ht="12.75" hidden="1">
      <c r="B495" s="27" t="s">
        <v>1503</v>
      </c>
      <c r="C495" s="84" t="s">
        <v>1504</v>
      </c>
      <c r="D495" s="26"/>
      <c r="E495" s="171"/>
      <c r="F495" s="173"/>
      <c r="G495" s="26">
        <v>0.072</v>
      </c>
      <c r="H495" s="91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5"/>
      <c r="V495" s="36"/>
      <c r="W495" s="36"/>
      <c r="X495" s="36"/>
      <c r="Y495" s="36"/>
      <c r="Z495" s="36"/>
      <c r="AA495" s="36"/>
      <c r="AB495" s="37"/>
      <c r="AC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</row>
    <row r="496" spans="2:47" ht="12.75" hidden="1">
      <c r="B496" s="27" t="s">
        <v>1550</v>
      </c>
      <c r="C496" s="84" t="s">
        <v>1551</v>
      </c>
      <c r="D496" s="26"/>
      <c r="E496" s="171"/>
      <c r="F496" s="173"/>
      <c r="G496" s="26">
        <v>0.004</v>
      </c>
      <c r="H496" s="91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5"/>
      <c r="V496" s="36"/>
      <c r="W496" s="36"/>
      <c r="X496" s="36"/>
      <c r="Y496" s="36"/>
      <c r="Z496" s="36"/>
      <c r="AA496" s="36"/>
      <c r="AB496" s="37"/>
      <c r="AC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</row>
    <row r="497" spans="2:47" ht="12.75" hidden="1">
      <c r="B497" s="27" t="s">
        <v>597</v>
      </c>
      <c r="C497" s="84" t="s">
        <v>604</v>
      </c>
      <c r="D497" s="26"/>
      <c r="E497" s="171"/>
      <c r="F497" s="173"/>
      <c r="G497" s="26">
        <v>0.047</v>
      </c>
      <c r="H497" s="91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5">
        <f>SUM(H497:N497)</f>
        <v>0</v>
      </c>
      <c r="V497" s="36"/>
      <c r="W497" s="36"/>
      <c r="X497" s="36"/>
      <c r="Y497" s="36"/>
      <c r="Z497" s="36"/>
      <c r="AA497" s="36"/>
      <c r="AB497" s="37"/>
      <c r="AC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</row>
    <row r="498" spans="2:47" ht="12.75" hidden="1">
      <c r="B498" s="27" t="s">
        <v>132</v>
      </c>
      <c r="C498" s="84" t="s">
        <v>133</v>
      </c>
      <c r="D498" s="26"/>
      <c r="E498" s="171"/>
      <c r="F498" s="173"/>
      <c r="G498" s="26">
        <v>0.001</v>
      </c>
      <c r="H498" s="91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94"/>
      <c r="V498" s="36"/>
      <c r="W498" s="36"/>
      <c r="X498" s="36"/>
      <c r="Y498" s="36"/>
      <c r="Z498" s="36"/>
      <c r="AA498" s="36"/>
      <c r="AB498" s="37"/>
      <c r="AC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</row>
    <row r="499" spans="2:47" ht="12.75" hidden="1">
      <c r="B499" s="27" t="s">
        <v>1690</v>
      </c>
      <c r="C499" s="84" t="s">
        <v>1691</v>
      </c>
      <c r="D499" s="26"/>
      <c r="E499" s="171"/>
      <c r="F499" s="171"/>
      <c r="G499" s="26">
        <v>0.006</v>
      </c>
      <c r="H499" s="91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95"/>
      <c r="T499" s="94">
        <f>SUM(H499:S499)</f>
        <v>0</v>
      </c>
      <c r="V499" s="36"/>
      <c r="W499" s="36"/>
      <c r="X499" s="36"/>
      <c r="Y499" s="36"/>
      <c r="Z499" s="36"/>
      <c r="AA499" s="36"/>
      <c r="AB499" s="37"/>
      <c r="AC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>
        <f>SUM(AE499:AT499)</f>
        <v>0</v>
      </c>
    </row>
    <row r="500" spans="2:47" ht="12.75" hidden="1">
      <c r="B500" s="27"/>
      <c r="C500" s="84"/>
      <c r="D500" s="26"/>
      <c r="E500" s="171"/>
      <c r="F500" s="171"/>
      <c r="G500" s="26"/>
      <c r="H500" s="91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94"/>
      <c r="V500" s="36"/>
      <c r="W500" s="36"/>
      <c r="X500" s="36"/>
      <c r="Y500" s="36"/>
      <c r="Z500" s="36"/>
      <c r="AA500" s="36"/>
      <c r="AB500" s="37"/>
      <c r="AC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</row>
    <row r="501" spans="2:47" ht="12.75" hidden="1">
      <c r="B501" s="27" t="s">
        <v>1692</v>
      </c>
      <c r="C501" s="84" t="s">
        <v>1693</v>
      </c>
      <c r="D501" s="26"/>
      <c r="E501" s="171"/>
      <c r="F501" s="173">
        <v>38200</v>
      </c>
      <c r="G501" s="26">
        <v>0.118</v>
      </c>
      <c r="H501" s="91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5">
        <f>SUM(H501:N501)</f>
        <v>0</v>
      </c>
      <c r="V501" s="36"/>
      <c r="W501" s="36"/>
      <c r="X501" s="36"/>
      <c r="Y501" s="36"/>
      <c r="Z501" s="36"/>
      <c r="AA501" s="36"/>
      <c r="AB501" s="37"/>
      <c r="AC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>
        <f>SUM(AE501:AT501)</f>
        <v>0</v>
      </c>
    </row>
    <row r="502" spans="2:47" ht="12.75" hidden="1">
      <c r="B502" s="27" t="s">
        <v>1694</v>
      </c>
      <c r="C502" s="84" t="s">
        <v>1695</v>
      </c>
      <c r="D502" s="26"/>
      <c r="E502" s="171"/>
      <c r="F502" s="173">
        <v>38200</v>
      </c>
      <c r="G502" s="26">
        <v>0.028</v>
      </c>
      <c r="H502" s="91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5">
        <f>SUM(H502:N502)</f>
        <v>0</v>
      </c>
      <c r="V502" s="36"/>
      <c r="W502" s="36"/>
      <c r="X502" s="36"/>
      <c r="Y502" s="36"/>
      <c r="Z502" s="36"/>
      <c r="AA502" s="36"/>
      <c r="AB502" s="37"/>
      <c r="AC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>
        <f>SUM(AE502:AT502)</f>
        <v>0</v>
      </c>
    </row>
    <row r="503" spans="2:47" ht="12.75" hidden="1">
      <c r="B503" s="27" t="s">
        <v>236</v>
      </c>
      <c r="C503" s="84" t="s">
        <v>237</v>
      </c>
      <c r="D503" s="26"/>
      <c r="E503" s="171"/>
      <c r="F503" s="173"/>
      <c r="G503" s="26">
        <v>0.044</v>
      </c>
      <c r="H503" s="91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5"/>
      <c r="V503" s="36"/>
      <c r="W503" s="36"/>
      <c r="X503" s="36"/>
      <c r="Y503" s="36"/>
      <c r="Z503" s="36"/>
      <c r="AA503" s="36"/>
      <c r="AB503" s="37"/>
      <c r="AC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</row>
    <row r="504" spans="2:47" ht="12.75" hidden="1">
      <c r="B504" s="27" t="s">
        <v>1696</v>
      </c>
      <c r="C504" s="84" t="s">
        <v>1699</v>
      </c>
      <c r="D504" s="26"/>
      <c r="E504" s="171"/>
      <c r="F504" s="171"/>
      <c r="G504" s="26">
        <v>0.009</v>
      </c>
      <c r="H504" s="91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5">
        <f>SUM(H504:N504)</f>
        <v>0</v>
      </c>
      <c r="V504" s="36"/>
      <c r="W504" s="36"/>
      <c r="X504" s="36"/>
      <c r="Y504" s="36"/>
      <c r="Z504" s="36"/>
      <c r="AA504" s="36"/>
      <c r="AB504" s="37"/>
      <c r="AC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>
        <f>SUM(AE504:AT504)</f>
        <v>0</v>
      </c>
    </row>
    <row r="505" spans="2:47" ht="12.75" hidden="1">
      <c r="B505" s="27" t="s">
        <v>579</v>
      </c>
      <c r="C505" s="84" t="s">
        <v>585</v>
      </c>
      <c r="D505" s="26"/>
      <c r="E505" s="171"/>
      <c r="F505" s="171"/>
      <c r="G505" s="26">
        <v>0.055</v>
      </c>
      <c r="H505" s="91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5">
        <f>SUM(H505:N505)</f>
        <v>0</v>
      </c>
      <c r="V505" s="36"/>
      <c r="W505" s="36"/>
      <c r="X505" s="36"/>
      <c r="Y505" s="36"/>
      <c r="Z505" s="36"/>
      <c r="AA505" s="36"/>
      <c r="AB505" s="37"/>
      <c r="AC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</row>
    <row r="506" spans="2:47" ht="12.75" hidden="1">
      <c r="B506" s="27" t="s">
        <v>580</v>
      </c>
      <c r="C506" s="84" t="s">
        <v>587</v>
      </c>
      <c r="D506" s="26"/>
      <c r="E506" s="171"/>
      <c r="F506" s="171"/>
      <c r="G506" s="26">
        <v>0.034</v>
      </c>
      <c r="H506" s="91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5">
        <f>SUM(H506:N506)</f>
        <v>0</v>
      </c>
      <c r="V506" s="36"/>
      <c r="W506" s="36"/>
      <c r="X506" s="36"/>
      <c r="Y506" s="36"/>
      <c r="Z506" s="36"/>
      <c r="AA506" s="36"/>
      <c r="AB506" s="37"/>
      <c r="AC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</row>
    <row r="507" spans="2:47" ht="12.75" hidden="1">
      <c r="B507" s="27" t="s">
        <v>581</v>
      </c>
      <c r="C507" s="84" t="s">
        <v>586</v>
      </c>
      <c r="D507" s="26"/>
      <c r="E507" s="171"/>
      <c r="F507" s="171"/>
      <c r="G507" s="26">
        <v>0.063</v>
      </c>
      <c r="H507" s="91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5">
        <f>SUM(H507:N507)</f>
        <v>0</v>
      </c>
      <c r="V507" s="36"/>
      <c r="W507" s="36"/>
      <c r="X507" s="36"/>
      <c r="Y507" s="36"/>
      <c r="Z507" s="36"/>
      <c r="AA507" s="36"/>
      <c r="AB507" s="37"/>
      <c r="AC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</row>
    <row r="508" spans="2:47" ht="12.75" hidden="1">
      <c r="B508" s="27" t="s">
        <v>1505</v>
      </c>
      <c r="C508" s="84" t="s">
        <v>1506</v>
      </c>
      <c r="D508" s="26"/>
      <c r="E508" s="171"/>
      <c r="F508" s="171"/>
      <c r="G508" s="26">
        <v>0.047</v>
      </c>
      <c r="H508" s="91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5"/>
      <c r="V508" s="36"/>
      <c r="W508" s="36"/>
      <c r="X508" s="36"/>
      <c r="Y508" s="36"/>
      <c r="Z508" s="36"/>
      <c r="AA508" s="36"/>
      <c r="AB508" s="37"/>
      <c r="AC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</row>
    <row r="509" spans="2:47" ht="12.75" hidden="1">
      <c r="B509" s="27" t="s">
        <v>582</v>
      </c>
      <c r="C509" s="84" t="s">
        <v>588</v>
      </c>
      <c r="D509" s="26"/>
      <c r="E509" s="171"/>
      <c r="F509" s="171"/>
      <c r="G509" s="26">
        <v>0.123</v>
      </c>
      <c r="H509" s="91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5">
        <f>SUM(H509:N509)</f>
        <v>0</v>
      </c>
      <c r="V509" s="36"/>
      <c r="W509" s="36"/>
      <c r="X509" s="36"/>
      <c r="Y509" s="36"/>
      <c r="Z509" s="36"/>
      <c r="AA509" s="36"/>
      <c r="AB509" s="37"/>
      <c r="AC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</row>
    <row r="510" spans="2:47" ht="12.75" hidden="1">
      <c r="B510" s="27" t="s">
        <v>583</v>
      </c>
      <c r="C510" s="84" t="s">
        <v>589</v>
      </c>
      <c r="D510" s="26"/>
      <c r="E510" s="171"/>
      <c r="F510" s="171"/>
      <c r="G510" s="26">
        <v>0.001</v>
      </c>
      <c r="H510" s="91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5">
        <f>SUM(H510:N510)</f>
        <v>0</v>
      </c>
      <c r="V510" s="36"/>
      <c r="W510" s="36"/>
      <c r="X510" s="36"/>
      <c r="Y510" s="36"/>
      <c r="Z510" s="36"/>
      <c r="AA510" s="36"/>
      <c r="AB510" s="37"/>
      <c r="AC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</row>
    <row r="511" spans="2:47" ht="12.75" hidden="1">
      <c r="B511" s="27" t="s">
        <v>214</v>
      </c>
      <c r="C511" s="84" t="s">
        <v>215</v>
      </c>
      <c r="D511" s="26"/>
      <c r="E511" s="171"/>
      <c r="F511" s="171"/>
      <c r="G511" s="26">
        <v>0.065</v>
      </c>
      <c r="H511" s="91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5">
        <f>SUM(H511:N511)</f>
        <v>0</v>
      </c>
      <c r="V511" s="36"/>
      <c r="W511" s="36"/>
      <c r="X511" s="36"/>
      <c r="Y511" s="36"/>
      <c r="Z511" s="36"/>
      <c r="AA511" s="36"/>
      <c r="AB511" s="37"/>
      <c r="AC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>
        <f>SUM(AE511:AT511)</f>
        <v>0</v>
      </c>
    </row>
    <row r="512" spans="2:47" ht="12.75" hidden="1">
      <c r="B512" s="27" t="s">
        <v>584</v>
      </c>
      <c r="C512" s="84" t="s">
        <v>590</v>
      </c>
      <c r="D512" s="26"/>
      <c r="E512" s="171"/>
      <c r="F512" s="171"/>
      <c r="G512" s="26">
        <v>0.004</v>
      </c>
      <c r="H512" s="91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5">
        <f>SUM(H512:N512)</f>
        <v>0</v>
      </c>
      <c r="V512" s="36"/>
      <c r="W512" s="36"/>
      <c r="X512" s="36"/>
      <c r="Y512" s="36"/>
      <c r="Z512" s="36"/>
      <c r="AA512" s="36"/>
      <c r="AB512" s="37"/>
      <c r="AC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</row>
    <row r="513" spans="2:47" ht="12.75" hidden="1">
      <c r="B513" s="27" t="s">
        <v>1507</v>
      </c>
      <c r="C513" s="84" t="s">
        <v>591</v>
      </c>
      <c r="D513" s="26"/>
      <c r="E513" s="171"/>
      <c r="F513" s="171"/>
      <c r="G513" s="26">
        <v>0.01</v>
      </c>
      <c r="H513" s="91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5"/>
      <c r="V513" s="36"/>
      <c r="W513" s="36"/>
      <c r="X513" s="36"/>
      <c r="Y513" s="36"/>
      <c r="Z513" s="36"/>
      <c r="AA513" s="36"/>
      <c r="AB513" s="37"/>
      <c r="AC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</row>
    <row r="514" spans="2:47" ht="12.75" hidden="1">
      <c r="B514" s="27" t="s">
        <v>1508</v>
      </c>
      <c r="C514" s="84" t="s">
        <v>1509</v>
      </c>
      <c r="D514" s="26"/>
      <c r="E514" s="171"/>
      <c r="F514" s="171"/>
      <c r="G514" s="26">
        <v>0.029</v>
      </c>
      <c r="H514" s="91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5"/>
      <c r="V514" s="36"/>
      <c r="W514" s="36"/>
      <c r="X514" s="36"/>
      <c r="Y514" s="36"/>
      <c r="Z514" s="36"/>
      <c r="AA514" s="36"/>
      <c r="AB514" s="37"/>
      <c r="AC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</row>
    <row r="515" spans="2:47" ht="12.75" hidden="1">
      <c r="B515" s="27" t="s">
        <v>1510</v>
      </c>
      <c r="C515" s="84" t="s">
        <v>1517</v>
      </c>
      <c r="D515" s="26"/>
      <c r="E515" s="171"/>
      <c r="F515" s="171"/>
      <c r="G515" s="26">
        <v>0.006</v>
      </c>
      <c r="H515" s="91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5"/>
      <c r="V515" s="36"/>
      <c r="W515" s="36"/>
      <c r="X515" s="36"/>
      <c r="Y515" s="36"/>
      <c r="Z515" s="36"/>
      <c r="AA515" s="36"/>
      <c r="AB515" s="37"/>
      <c r="AC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</row>
    <row r="516" spans="2:47" ht="12.75" hidden="1">
      <c r="B516" s="27" t="s">
        <v>1511</v>
      </c>
      <c r="C516" s="84" t="s">
        <v>1518</v>
      </c>
      <c r="D516" s="26"/>
      <c r="E516" s="171"/>
      <c r="F516" s="171"/>
      <c r="G516" s="26">
        <v>0.009</v>
      </c>
      <c r="H516" s="91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5"/>
      <c r="V516" s="36"/>
      <c r="W516" s="36"/>
      <c r="X516" s="36"/>
      <c r="Y516" s="36"/>
      <c r="Z516" s="36"/>
      <c r="AA516" s="36"/>
      <c r="AB516" s="37"/>
      <c r="AC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</row>
    <row r="517" spans="2:47" ht="12.75" hidden="1">
      <c r="B517" s="27" t="s">
        <v>1512</v>
      </c>
      <c r="C517" s="84" t="s">
        <v>1519</v>
      </c>
      <c r="D517" s="26"/>
      <c r="E517" s="171"/>
      <c r="F517" s="171"/>
      <c r="G517" s="26">
        <v>0.01</v>
      </c>
      <c r="H517" s="91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5"/>
      <c r="V517" s="36"/>
      <c r="W517" s="36"/>
      <c r="X517" s="36"/>
      <c r="Y517" s="36"/>
      <c r="Z517" s="36"/>
      <c r="AA517" s="36"/>
      <c r="AB517" s="37"/>
      <c r="AC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</row>
    <row r="518" spans="2:47" ht="12.75" hidden="1">
      <c r="B518" s="27" t="s">
        <v>1513</v>
      </c>
      <c r="C518" s="84" t="s">
        <v>1520</v>
      </c>
      <c r="D518" s="26"/>
      <c r="E518" s="171"/>
      <c r="F518" s="171"/>
      <c r="G518" s="26">
        <v>0.017</v>
      </c>
      <c r="H518" s="91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5"/>
      <c r="V518" s="36"/>
      <c r="W518" s="36"/>
      <c r="X518" s="36"/>
      <c r="Y518" s="36"/>
      <c r="Z518" s="36"/>
      <c r="AA518" s="36"/>
      <c r="AB518" s="37"/>
      <c r="AC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</row>
    <row r="519" spans="2:47" ht="12.75" hidden="1">
      <c r="B519" s="27" t="s">
        <v>1514</v>
      </c>
      <c r="C519" s="84" t="s">
        <v>1521</v>
      </c>
      <c r="D519" s="26"/>
      <c r="E519" s="171"/>
      <c r="F519" s="171"/>
      <c r="G519" s="26">
        <v>0.05</v>
      </c>
      <c r="H519" s="91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5"/>
      <c r="V519" s="36"/>
      <c r="W519" s="36"/>
      <c r="X519" s="36"/>
      <c r="Y519" s="36"/>
      <c r="Z519" s="36"/>
      <c r="AA519" s="36"/>
      <c r="AB519" s="37"/>
      <c r="AC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</row>
    <row r="520" spans="2:47" ht="12.75" hidden="1">
      <c r="B520" s="27" t="s">
        <v>1515</v>
      </c>
      <c r="C520" s="84" t="s">
        <v>1522</v>
      </c>
      <c r="D520" s="26"/>
      <c r="E520" s="171"/>
      <c r="F520" s="171"/>
      <c r="G520" s="26">
        <v>0.022</v>
      </c>
      <c r="H520" s="91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5"/>
      <c r="V520" s="36"/>
      <c r="W520" s="36"/>
      <c r="X520" s="36"/>
      <c r="Y520" s="36"/>
      <c r="Z520" s="36"/>
      <c r="AA520" s="36"/>
      <c r="AB520" s="37"/>
      <c r="AC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</row>
    <row r="521" spans="2:47" ht="12.75" hidden="1">
      <c r="B521" s="27" t="s">
        <v>1516</v>
      </c>
      <c r="C521" s="84" t="s">
        <v>1523</v>
      </c>
      <c r="D521" s="26"/>
      <c r="E521" s="171"/>
      <c r="F521" s="171"/>
      <c r="G521" s="26">
        <v>0.07</v>
      </c>
      <c r="H521" s="91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5"/>
      <c r="V521" s="36"/>
      <c r="W521" s="36"/>
      <c r="X521" s="36"/>
      <c r="Y521" s="36"/>
      <c r="Z521" s="36"/>
      <c r="AA521" s="36"/>
      <c r="AB521" s="37"/>
      <c r="AC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</row>
    <row r="522" spans="2:47" ht="12.75">
      <c r="B522" s="252" t="s">
        <v>1460</v>
      </c>
      <c r="C522" s="103" t="s">
        <v>1382</v>
      </c>
      <c r="D522" s="103">
        <f>4.082</f>
        <v>4.082</v>
      </c>
      <c r="E522" s="169">
        <v>38078</v>
      </c>
      <c r="F522" s="169">
        <v>38595</v>
      </c>
      <c r="G522" s="10">
        <f>SUM(G475:G521)</f>
        <v>1.7539425799999997</v>
      </c>
      <c r="H522" s="91"/>
      <c r="I522" s="13"/>
      <c r="J522" s="13"/>
      <c r="K522" s="13"/>
      <c r="L522" s="13">
        <v>1.173</v>
      </c>
      <c r="M522" s="13">
        <v>0.324</v>
      </c>
      <c r="N522" s="13">
        <v>0.275</v>
      </c>
      <c r="O522" s="13"/>
      <c r="P522" s="13"/>
      <c r="Q522" s="13"/>
      <c r="R522" s="13"/>
      <c r="S522" s="13">
        <v>2.31</v>
      </c>
      <c r="T522" s="5">
        <f>SUM(H522:N522)</f>
        <v>1.7720000000000002</v>
      </c>
      <c r="V522" s="36">
        <f>1.554+0.363</f>
        <v>1.917</v>
      </c>
      <c r="W522" s="36"/>
      <c r="X522" s="36"/>
      <c r="Y522" s="36"/>
      <c r="Z522" s="36">
        <f>0.363-0.363</f>
        <v>0</v>
      </c>
      <c r="AA522" s="36">
        <f>SUM(AE522:AT522)</f>
        <v>2.165</v>
      </c>
      <c r="AB522" s="37"/>
      <c r="AC522" s="37">
        <f>SUM(V522:AB522)</f>
        <v>4.082</v>
      </c>
      <c r="AE522" s="37"/>
      <c r="AF522" s="37"/>
      <c r="AG522" s="37">
        <f>2.165</f>
        <v>2.165</v>
      </c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>
        <f>SUM(AE522:AT522)</f>
        <v>2.165</v>
      </c>
    </row>
    <row r="523" spans="2:47" ht="12.75" hidden="1">
      <c r="B523" s="33" t="s">
        <v>1704</v>
      </c>
      <c r="C523" s="5" t="s">
        <v>1705</v>
      </c>
      <c r="D523" s="5"/>
      <c r="G523" s="10">
        <f>0.231-0.2</f>
        <v>0.031</v>
      </c>
      <c r="H523" s="91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5">
        <f>SUM(H523:N523)</f>
        <v>0</v>
      </c>
      <c r="V523" s="36"/>
      <c r="W523" s="36"/>
      <c r="X523" s="36"/>
      <c r="Y523" s="36"/>
      <c r="Z523" s="36"/>
      <c r="AA523" s="36"/>
      <c r="AB523" s="37"/>
      <c r="AC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>
        <f>SUM(AE523:AT523)</f>
        <v>0</v>
      </c>
    </row>
    <row r="524" spans="3:47" ht="12.75" hidden="1">
      <c r="C524" s="10" t="s">
        <v>1419</v>
      </c>
      <c r="D524" s="5"/>
      <c r="E524" s="169">
        <v>37712</v>
      </c>
      <c r="F524" s="169">
        <v>38990</v>
      </c>
      <c r="G524" s="10"/>
      <c r="H524" s="91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5">
        <f>SUM(H524:N524)</f>
        <v>0</v>
      </c>
      <c r="V524" s="36"/>
      <c r="W524" s="36"/>
      <c r="X524" s="36"/>
      <c r="Y524" s="36"/>
      <c r="Z524" s="36"/>
      <c r="AA524" s="36">
        <f>SUM(AE524:AT524)</f>
        <v>0</v>
      </c>
      <c r="AB524" s="37"/>
      <c r="AC524" s="37">
        <f>SUM(V524:AB524)</f>
        <v>0</v>
      </c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>
        <f>SUM(AE524:AT524)</f>
        <v>0</v>
      </c>
    </row>
    <row r="525" spans="2:47" ht="12.75" hidden="1">
      <c r="B525" s="33" t="s">
        <v>1702</v>
      </c>
      <c r="C525" s="10" t="s">
        <v>1703</v>
      </c>
      <c r="D525" s="5"/>
      <c r="G525" s="10">
        <v>0.395</v>
      </c>
      <c r="H525" s="91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5">
        <f>SUM(H525:N525)</f>
        <v>0</v>
      </c>
      <c r="V525" s="36"/>
      <c r="W525" s="36"/>
      <c r="X525" s="36"/>
      <c r="Y525" s="36"/>
      <c r="Z525" s="36"/>
      <c r="AA525" s="36"/>
      <c r="AB525" s="37"/>
      <c r="AC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>
        <f aca="true" t="shared" si="93" ref="AU525:AU566">SUM(AE525:AT525)</f>
        <v>0</v>
      </c>
    </row>
    <row r="526" spans="2:47" ht="12.75" hidden="1">
      <c r="B526" s="33" t="s">
        <v>1487</v>
      </c>
      <c r="C526" s="10" t="s">
        <v>1488</v>
      </c>
      <c r="D526" s="5"/>
      <c r="G526" s="10">
        <v>0</v>
      </c>
      <c r="H526" s="91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5"/>
      <c r="V526" s="36"/>
      <c r="W526" s="36"/>
      <c r="X526" s="36"/>
      <c r="Y526" s="36"/>
      <c r="Z526" s="36"/>
      <c r="AA526" s="36"/>
      <c r="AB526" s="37"/>
      <c r="AC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</row>
    <row r="527" spans="2:47" ht="12.75">
      <c r="B527" s="252" t="s">
        <v>1460</v>
      </c>
      <c r="C527" s="103" t="s">
        <v>1420</v>
      </c>
      <c r="D527" s="103">
        <f>1.063+0.1-0.7</f>
        <v>0.4630000000000001</v>
      </c>
      <c r="E527" s="169">
        <v>37681</v>
      </c>
      <c r="F527" s="169">
        <v>38473</v>
      </c>
      <c r="G527" s="10">
        <f>SUM(G523:G526)</f>
        <v>0.42600000000000005</v>
      </c>
      <c r="H527" s="91"/>
      <c r="I527" s="13"/>
      <c r="J527" s="13">
        <v>0.046</v>
      </c>
      <c r="K527" s="13">
        <v>0.046</v>
      </c>
      <c r="L527" s="13">
        <v>0.046</v>
      </c>
      <c r="M527" s="13">
        <v>0.046</v>
      </c>
      <c r="N527" s="13">
        <v>0.046</v>
      </c>
      <c r="O527" s="13">
        <v>0.046</v>
      </c>
      <c r="P527" s="13">
        <v>0.046</v>
      </c>
      <c r="Q527" s="13">
        <v>0.046</v>
      </c>
      <c r="R527" s="13">
        <v>0.046</v>
      </c>
      <c r="S527" s="13">
        <v>0.046</v>
      </c>
      <c r="T527" s="5">
        <f>SUM(H527:N527)</f>
        <v>0.22999999999999998</v>
      </c>
      <c r="V527" s="36">
        <f>0.228+0.355-0.467</f>
        <v>0.11599999999999994</v>
      </c>
      <c r="W527" s="36"/>
      <c r="X527" s="36"/>
      <c r="Y527" s="36"/>
      <c r="Z527" s="36">
        <f>0.835-0.355-0.247-0.233</f>
        <v>0</v>
      </c>
      <c r="AA527" s="36">
        <f>SUM(AE527:AT527)</f>
        <v>0.347</v>
      </c>
      <c r="AB527" s="37"/>
      <c r="AC527" s="37">
        <f>SUM(V527:AB527)</f>
        <v>0.4629999999999999</v>
      </c>
      <c r="AE527" s="37"/>
      <c r="AF527" s="37"/>
      <c r="AG527" s="37">
        <v>0.121</v>
      </c>
      <c r="AH527" s="37"/>
      <c r="AI527" s="37"/>
      <c r="AJ527" s="37">
        <v>0.1</v>
      </c>
      <c r="AK527" s="37"/>
      <c r="AL527" s="37"/>
      <c r="AM527" s="37"/>
      <c r="AN527" s="37"/>
      <c r="AO527" s="37"/>
      <c r="AP527" s="37"/>
      <c r="AQ527" s="37"/>
      <c r="AR527" s="37"/>
      <c r="AS527" s="37"/>
      <c r="AT527" s="37">
        <v>0.126</v>
      </c>
      <c r="AU527" s="37">
        <f t="shared" si="93"/>
        <v>0.347</v>
      </c>
    </row>
    <row r="528" spans="1:47" ht="12.75">
      <c r="A528" s="252" t="s">
        <v>1460</v>
      </c>
      <c r="B528" s="33" t="s">
        <v>1706</v>
      </c>
      <c r="C528" s="5" t="s">
        <v>1363</v>
      </c>
      <c r="D528" s="5">
        <f>0.462-0.287</f>
        <v>0.17500000000000004</v>
      </c>
      <c r="E528" s="24">
        <v>36982</v>
      </c>
      <c r="F528" s="169">
        <v>38412</v>
      </c>
      <c r="G528" s="10">
        <v>0.077</v>
      </c>
      <c r="H528" s="91">
        <v>0</v>
      </c>
      <c r="I528" s="13">
        <v>0</v>
      </c>
      <c r="J528" s="13">
        <v>0</v>
      </c>
      <c r="K528" s="13">
        <v>0.014</v>
      </c>
      <c r="L528" s="13">
        <v>0.032</v>
      </c>
      <c r="M528" s="13">
        <v>0</v>
      </c>
      <c r="N528" s="13">
        <v>0</v>
      </c>
      <c r="O528" s="13">
        <v>0.1</v>
      </c>
      <c r="P528" s="13">
        <v>0.1</v>
      </c>
      <c r="Q528" s="13">
        <v>0</v>
      </c>
      <c r="R528" s="13">
        <v>0</v>
      </c>
      <c r="S528" s="13">
        <v>0.216</v>
      </c>
      <c r="T528" s="5">
        <f>SUM(H528:N528)</f>
        <v>0.046</v>
      </c>
      <c r="V528" s="36">
        <f>0.462-0.287</f>
        <v>0.17500000000000004</v>
      </c>
      <c r="W528" s="36"/>
      <c r="X528" s="36"/>
      <c r="Y528" s="36"/>
      <c r="AA528" s="36">
        <f>SUM(AE528:AT528)</f>
        <v>0</v>
      </c>
      <c r="AB528" s="37"/>
      <c r="AC528" s="37">
        <f>SUM(V528:AB528)</f>
        <v>0.17500000000000004</v>
      </c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>
        <f>SUM(AE528:AT528)</f>
        <v>0</v>
      </c>
    </row>
    <row r="529" spans="2:47" ht="12" customHeight="1" hidden="1">
      <c r="B529" s="33" t="s">
        <v>622</v>
      </c>
      <c r="C529" s="26" t="s">
        <v>623</v>
      </c>
      <c r="D529" s="5"/>
      <c r="G529" s="10">
        <v>0.026</v>
      </c>
      <c r="H529" s="91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5">
        <f>SUM(H529:N529)</f>
        <v>0</v>
      </c>
      <c r="V529" s="36"/>
      <c r="W529" s="36"/>
      <c r="X529" s="36"/>
      <c r="Y529" s="36"/>
      <c r="Z529" s="36"/>
      <c r="AA529" s="36"/>
      <c r="AB529" s="37"/>
      <c r="AC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</row>
    <row r="530" spans="2:47" ht="12.75" hidden="1">
      <c r="B530" s="33" t="s">
        <v>1545</v>
      </c>
      <c r="C530" t="s">
        <v>1546</v>
      </c>
      <c r="D530" s="103"/>
      <c r="G530" s="10"/>
      <c r="H530" s="91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94"/>
      <c r="V530" s="36"/>
      <c r="W530" s="36"/>
      <c r="X530" s="36"/>
      <c r="Y530" s="36"/>
      <c r="Z530" s="36"/>
      <c r="AA530" s="36"/>
      <c r="AB530" s="37"/>
      <c r="AC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</row>
    <row r="531" spans="2:47" ht="12.75" hidden="1">
      <c r="B531" s="33" t="s">
        <v>1484</v>
      </c>
      <c r="C531" s="10" t="s">
        <v>1485</v>
      </c>
      <c r="D531" s="5"/>
      <c r="G531" s="10">
        <v>0.001</v>
      </c>
      <c r="H531" s="91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5"/>
      <c r="V531" s="36"/>
      <c r="W531" s="36"/>
      <c r="X531" s="36"/>
      <c r="Y531" s="36"/>
      <c r="Z531" s="36"/>
      <c r="AA531" s="36"/>
      <c r="AB531" s="37"/>
      <c r="AC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</row>
    <row r="532" spans="2:47" ht="12.75" hidden="1">
      <c r="B532" s="252" t="s">
        <v>1460</v>
      </c>
      <c r="C532" s="103" t="s">
        <v>1547</v>
      </c>
      <c r="D532" s="103"/>
      <c r="G532" s="10">
        <f>SUM(G529:G531)</f>
        <v>0.027</v>
      </c>
      <c r="H532" s="91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94"/>
      <c r="V532" s="36"/>
      <c r="W532" s="36"/>
      <c r="X532" s="36"/>
      <c r="Y532" s="36"/>
      <c r="Z532" s="36"/>
      <c r="AA532" s="36"/>
      <c r="AB532" s="37"/>
      <c r="AC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</row>
    <row r="533" spans="2:47" ht="12.75">
      <c r="B533" s="33" t="s">
        <v>1548</v>
      </c>
      <c r="C533" s="26" t="s">
        <v>1421</v>
      </c>
      <c r="D533" s="5">
        <f>0.052-0.015</f>
        <v>0.037</v>
      </c>
      <c r="E533" s="169">
        <v>38107</v>
      </c>
      <c r="F533" s="169">
        <v>38806</v>
      </c>
      <c r="G533" s="10">
        <v>0</v>
      </c>
      <c r="H533" s="91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0.037</v>
      </c>
      <c r="P533" s="13">
        <v>0</v>
      </c>
      <c r="Q533" s="13">
        <v>0</v>
      </c>
      <c r="R533" s="13">
        <v>0</v>
      </c>
      <c r="S533" s="13">
        <v>0.015</v>
      </c>
      <c r="T533" s="5">
        <f>SUM(H533:N533)</f>
        <v>0</v>
      </c>
      <c r="V533" s="36"/>
      <c r="W533" s="36"/>
      <c r="X533" s="36"/>
      <c r="Y533" s="36"/>
      <c r="Z533" s="36"/>
      <c r="AA533" s="36">
        <f>SUM(AE533:AT533)</f>
        <v>0.037</v>
      </c>
      <c r="AB533" s="37"/>
      <c r="AC533" s="37">
        <f>SUM(V533:AB533)</f>
        <v>0.037</v>
      </c>
      <c r="AE533" s="37"/>
      <c r="AF533" s="37"/>
      <c r="AG533" s="37"/>
      <c r="AH533" s="37">
        <f>0.052-0.015</f>
        <v>0.037</v>
      </c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>
        <f t="shared" si="93"/>
        <v>0.037</v>
      </c>
    </row>
    <row r="534" spans="2:47" ht="12.75" hidden="1">
      <c r="B534" s="33" t="s">
        <v>148</v>
      </c>
      <c r="C534" s="26" t="s">
        <v>149</v>
      </c>
      <c r="D534" s="5"/>
      <c r="G534" s="10">
        <v>0.001</v>
      </c>
      <c r="H534" s="91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5">
        <f>SUM(H534:N534)</f>
        <v>0</v>
      </c>
      <c r="V534" s="36"/>
      <c r="W534" s="36"/>
      <c r="X534" s="36"/>
      <c r="Y534" s="36"/>
      <c r="Z534" s="36"/>
      <c r="AA534" s="36"/>
      <c r="AB534" s="37"/>
      <c r="AC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>
        <f t="shared" si="93"/>
        <v>0</v>
      </c>
    </row>
    <row r="535" spans="2:47" ht="12.75" hidden="1">
      <c r="B535" s="33" t="s">
        <v>1707</v>
      </c>
      <c r="C535" s="26" t="s">
        <v>1708</v>
      </c>
      <c r="D535" s="5"/>
      <c r="G535" s="10">
        <v>0.011</v>
      </c>
      <c r="H535" s="91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5">
        <f>SUM(H535:N535)</f>
        <v>0</v>
      </c>
      <c r="V535" s="36"/>
      <c r="W535" s="36"/>
      <c r="X535" s="36"/>
      <c r="Y535" s="36"/>
      <c r="Z535" s="36"/>
      <c r="AA535" s="36"/>
      <c r="AB535" s="37"/>
      <c r="AC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>
        <f t="shared" si="93"/>
        <v>0</v>
      </c>
    </row>
    <row r="536" spans="2:48" ht="12.75" hidden="1">
      <c r="B536" s="33" t="s">
        <v>605</v>
      </c>
      <c r="C536" s="26" t="s">
        <v>606</v>
      </c>
      <c r="D536" s="5"/>
      <c r="G536" s="10">
        <v>0.006</v>
      </c>
      <c r="H536" s="91"/>
      <c r="I536" s="13"/>
      <c r="J536" s="13"/>
      <c r="K536" s="13"/>
      <c r="L536" s="13"/>
      <c r="M536" s="13">
        <v>0.005</v>
      </c>
      <c r="N536" s="13">
        <v>0.024</v>
      </c>
      <c r="O536" s="13">
        <v>0.048</v>
      </c>
      <c r="P536" s="13">
        <v>0.036</v>
      </c>
      <c r="Q536" s="13">
        <v>0.048</v>
      </c>
      <c r="R536" s="13">
        <v>0.048</v>
      </c>
      <c r="S536" s="13">
        <v>0.042</v>
      </c>
      <c r="T536" s="5">
        <f>SUM(H536:N536)</f>
        <v>0.029</v>
      </c>
      <c r="V536" s="36"/>
      <c r="W536" s="36"/>
      <c r="X536" s="36"/>
      <c r="Y536" s="36"/>
      <c r="Z536" s="36"/>
      <c r="AA536" s="36"/>
      <c r="AB536" s="37"/>
      <c r="AC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>
        <f t="shared" si="93"/>
        <v>0</v>
      </c>
      <c r="AV536" s="33" t="s">
        <v>1544</v>
      </c>
    </row>
    <row r="537" spans="2:48" ht="12.75" hidden="1">
      <c r="B537" s="33" t="s">
        <v>1709</v>
      </c>
      <c r="C537" s="26" t="s">
        <v>1710</v>
      </c>
      <c r="D537" s="5"/>
      <c r="G537" s="10">
        <v>0.361</v>
      </c>
      <c r="H537" s="91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5">
        <f>SUM(H537:N537)</f>
        <v>0</v>
      </c>
      <c r="V537" s="36"/>
      <c r="W537" s="36"/>
      <c r="X537" s="36"/>
      <c r="Y537" s="36"/>
      <c r="Z537" s="36"/>
      <c r="AA537" s="36"/>
      <c r="AB537" s="37"/>
      <c r="AC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>
        <f t="shared" si="93"/>
        <v>0</v>
      </c>
      <c r="AV537" s="33" t="s">
        <v>1544</v>
      </c>
    </row>
    <row r="538" spans="2:48" ht="12.75">
      <c r="B538" s="252" t="s">
        <v>1460</v>
      </c>
      <c r="C538" s="26" t="s">
        <v>1414</v>
      </c>
      <c r="D538" s="5">
        <v>0.505</v>
      </c>
      <c r="E538" s="169">
        <v>38047</v>
      </c>
      <c r="F538" s="169">
        <v>38231</v>
      </c>
      <c r="G538" s="10">
        <f>SUM(G536:G537)</f>
        <v>0.367</v>
      </c>
      <c r="H538" s="91">
        <v>0</v>
      </c>
      <c r="I538" s="13">
        <v>0</v>
      </c>
      <c r="J538" s="13">
        <v>0</v>
      </c>
      <c r="K538" s="13">
        <v>0</v>
      </c>
      <c r="L538" s="13">
        <v>0.224</v>
      </c>
      <c r="M538" s="13">
        <v>0.09</v>
      </c>
      <c r="N538" s="13">
        <v>0.085</v>
      </c>
      <c r="O538" s="13">
        <v>0</v>
      </c>
      <c r="P538" s="13">
        <v>0</v>
      </c>
      <c r="Q538" s="13">
        <v>0</v>
      </c>
      <c r="R538" s="13">
        <v>0</v>
      </c>
      <c r="S538" s="13">
        <v>0.029</v>
      </c>
      <c r="T538" s="5"/>
      <c r="V538" s="36"/>
      <c r="W538" s="36"/>
      <c r="X538" s="36"/>
      <c r="Y538" s="36"/>
      <c r="Z538" s="36"/>
      <c r="AA538" s="36">
        <f>SUM(AE538:AT538)</f>
        <v>0.505</v>
      </c>
      <c r="AB538" s="37"/>
      <c r="AC538" s="37">
        <f>SUM(V538:AB538)</f>
        <v>0.505</v>
      </c>
      <c r="AE538" s="37"/>
      <c r="AF538" s="37"/>
      <c r="AG538" s="37"/>
      <c r="AH538" s="37">
        <v>0.305</v>
      </c>
      <c r="AI538" s="37"/>
      <c r="AJ538" s="37"/>
      <c r="AK538" s="37"/>
      <c r="AL538" s="37"/>
      <c r="AM538" s="37"/>
      <c r="AN538" s="37"/>
      <c r="AO538" s="37"/>
      <c r="AP538" s="37">
        <v>0.2</v>
      </c>
      <c r="AQ538" s="37"/>
      <c r="AR538" s="37"/>
      <c r="AS538" s="37"/>
      <c r="AT538" s="37"/>
      <c r="AU538" s="37">
        <f t="shared" si="93"/>
        <v>0.505</v>
      </c>
      <c r="AV538" s="33" t="s">
        <v>1544</v>
      </c>
    </row>
    <row r="539" spans="2:47" ht="12.75">
      <c r="B539" s="33" t="s">
        <v>1711</v>
      </c>
      <c r="C539" s="26" t="s">
        <v>1712</v>
      </c>
      <c r="D539" s="5">
        <v>0.254</v>
      </c>
      <c r="E539" s="169">
        <v>37712</v>
      </c>
      <c r="F539" s="169">
        <v>38200</v>
      </c>
      <c r="G539" s="10">
        <v>0.243</v>
      </c>
      <c r="H539" s="91">
        <v>0</v>
      </c>
      <c r="I539" s="13">
        <v>0</v>
      </c>
      <c r="J539" s="13">
        <v>0</v>
      </c>
      <c r="K539" s="13">
        <v>0</v>
      </c>
      <c r="L539" s="13">
        <v>0.254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5">
        <f aca="true" t="shared" si="94" ref="T539:T546">SUM(H539:N539)</f>
        <v>0.254</v>
      </c>
      <c r="V539" s="36"/>
      <c r="W539" s="36"/>
      <c r="X539" s="36"/>
      <c r="Y539" s="36">
        <v>0.186</v>
      </c>
      <c r="Z539" s="36"/>
      <c r="AA539" s="36">
        <f>SUM(AE539:AT539)</f>
        <v>0.068</v>
      </c>
      <c r="AB539" s="37"/>
      <c r="AC539" s="37">
        <f>SUM(V539:AB539)</f>
        <v>0.254</v>
      </c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>
        <v>0.068</v>
      </c>
      <c r="AU539" s="37">
        <f t="shared" si="93"/>
        <v>0.068</v>
      </c>
    </row>
    <row r="540" spans="2:47" ht="12" customHeight="1" hidden="1">
      <c r="B540" s="33" t="s">
        <v>611</v>
      </c>
      <c r="C540" s="26" t="s">
        <v>615</v>
      </c>
      <c r="D540" s="5"/>
      <c r="G540" s="10"/>
      <c r="H540" s="91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5">
        <f t="shared" si="94"/>
        <v>0</v>
      </c>
      <c r="V540" s="36"/>
      <c r="W540" s="36"/>
      <c r="X540" s="36"/>
      <c r="Y540" s="36"/>
      <c r="Z540" s="36"/>
      <c r="AA540" s="36"/>
      <c r="AB540" s="37"/>
      <c r="AC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</row>
    <row r="541" spans="2:47" ht="12" customHeight="1" hidden="1">
      <c r="B541" s="33" t="s">
        <v>612</v>
      </c>
      <c r="C541" s="26" t="s">
        <v>616</v>
      </c>
      <c r="D541" s="5"/>
      <c r="G541" s="10">
        <v>0.001</v>
      </c>
      <c r="H541" s="91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5">
        <f t="shared" si="94"/>
        <v>0</v>
      </c>
      <c r="V541" s="36"/>
      <c r="W541" s="36"/>
      <c r="X541" s="36"/>
      <c r="Y541" s="36"/>
      <c r="Z541" s="36"/>
      <c r="AA541" s="36"/>
      <c r="AB541" s="37"/>
      <c r="AC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</row>
    <row r="542" spans="2:47" ht="12" customHeight="1" hidden="1">
      <c r="B542" s="33" t="s">
        <v>613</v>
      </c>
      <c r="C542" s="26" t="s">
        <v>617</v>
      </c>
      <c r="D542" s="5"/>
      <c r="G542" s="10">
        <v>0.029</v>
      </c>
      <c r="H542" s="91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5">
        <f t="shared" si="94"/>
        <v>0</v>
      </c>
      <c r="V542" s="36"/>
      <c r="W542" s="36"/>
      <c r="X542" s="36"/>
      <c r="Y542" s="36"/>
      <c r="Z542" s="36"/>
      <c r="AA542" s="36"/>
      <c r="AB542" s="37"/>
      <c r="AC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</row>
    <row r="543" spans="2:47" ht="12" customHeight="1" hidden="1">
      <c r="B543" s="33" t="s">
        <v>614</v>
      </c>
      <c r="C543" s="26" t="s">
        <v>618</v>
      </c>
      <c r="D543" s="5"/>
      <c r="G543" s="10">
        <v>0.014</v>
      </c>
      <c r="H543" s="91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5">
        <f t="shared" si="94"/>
        <v>0</v>
      </c>
      <c r="V543" s="36"/>
      <c r="W543" s="36"/>
      <c r="X543" s="36"/>
      <c r="Y543" s="36"/>
      <c r="Z543" s="36"/>
      <c r="AA543" s="36"/>
      <c r="AB543" s="37"/>
      <c r="AC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</row>
    <row r="544" spans="2:47" ht="12.75" hidden="1">
      <c r="B544" s="33" t="s">
        <v>1648</v>
      </c>
      <c r="C544" s="26" t="s">
        <v>1649</v>
      </c>
      <c r="D544" s="26"/>
      <c r="G544" s="26">
        <v>0.07</v>
      </c>
      <c r="H544" s="91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5">
        <f t="shared" si="94"/>
        <v>0</v>
      </c>
      <c r="V544" s="36"/>
      <c r="W544" s="36"/>
      <c r="X544" s="36"/>
      <c r="Y544" s="36"/>
      <c r="Z544" s="36"/>
      <c r="AA544" s="36"/>
      <c r="AB544" s="37"/>
      <c r="AC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>
        <f t="shared" si="93"/>
        <v>0</v>
      </c>
    </row>
    <row r="545" spans="2:47" ht="12.75" hidden="1">
      <c r="B545" s="33" t="s">
        <v>1260</v>
      </c>
      <c r="C545" s="26" t="s">
        <v>1261</v>
      </c>
      <c r="D545" s="26"/>
      <c r="G545" s="26">
        <v>0.019</v>
      </c>
      <c r="H545" s="91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5"/>
      <c r="V545" s="36"/>
      <c r="W545" s="36"/>
      <c r="X545" s="36"/>
      <c r="Y545" s="36"/>
      <c r="Z545" s="36"/>
      <c r="AA545" s="36"/>
      <c r="AB545" s="37"/>
      <c r="AC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</row>
    <row r="546" spans="2:47" ht="12.75" hidden="1">
      <c r="B546" s="33" t="s">
        <v>610</v>
      </c>
      <c r="C546" s="26" t="s">
        <v>619</v>
      </c>
      <c r="D546" s="26"/>
      <c r="G546" s="26">
        <v>0.088</v>
      </c>
      <c r="H546" s="91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5">
        <f t="shared" si="94"/>
        <v>0</v>
      </c>
      <c r="V546" s="36"/>
      <c r="W546" s="36"/>
      <c r="X546" s="36"/>
      <c r="Y546" s="36"/>
      <c r="Z546" s="36"/>
      <c r="AA546" s="36"/>
      <c r="AB546" s="37"/>
      <c r="AC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</row>
    <row r="547" spans="2:47" ht="12.75" hidden="1">
      <c r="B547" s="33" t="s">
        <v>1482</v>
      </c>
      <c r="C547" s="26" t="s">
        <v>1483</v>
      </c>
      <c r="D547" s="26"/>
      <c r="G547" s="26">
        <v>0.087</v>
      </c>
      <c r="H547" s="91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5"/>
      <c r="V547" s="36"/>
      <c r="W547" s="36"/>
      <c r="X547" s="36"/>
      <c r="Y547" s="36"/>
      <c r="Z547" s="36"/>
      <c r="AA547" s="36"/>
      <c r="AB547" s="37"/>
      <c r="AC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</row>
    <row r="548" spans="2:47" ht="12.75" hidden="1">
      <c r="B548" s="33" t="s">
        <v>203</v>
      </c>
      <c r="C548" s="26" t="s">
        <v>204</v>
      </c>
      <c r="D548" s="26"/>
      <c r="G548" s="26">
        <v>0.015</v>
      </c>
      <c r="H548" s="91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5">
        <f aca="true" t="shared" si="95" ref="T548:T555">SUM(H548:N548)</f>
        <v>0</v>
      </c>
      <c r="V548" s="36"/>
      <c r="W548" s="36"/>
      <c r="X548" s="36"/>
      <c r="Y548" s="36"/>
      <c r="Z548" s="36"/>
      <c r="AA548" s="36"/>
      <c r="AB548" s="37"/>
      <c r="AC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>
        <f t="shared" si="93"/>
        <v>0</v>
      </c>
    </row>
    <row r="549" spans="2:47" ht="12.75" hidden="1">
      <c r="B549" s="33" t="s">
        <v>205</v>
      </c>
      <c r="C549" s="26" t="s">
        <v>206</v>
      </c>
      <c r="D549" s="26"/>
      <c r="G549" s="26">
        <v>0.1</v>
      </c>
      <c r="H549" s="91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5">
        <f t="shared" si="95"/>
        <v>0</v>
      </c>
      <c r="V549" s="36"/>
      <c r="W549" s="36"/>
      <c r="X549" s="36"/>
      <c r="Y549" s="36"/>
      <c r="Z549" s="36"/>
      <c r="AA549" s="36"/>
      <c r="AB549" s="37"/>
      <c r="AC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>
        <f t="shared" si="93"/>
        <v>0</v>
      </c>
    </row>
    <row r="550" spans="2:47" ht="12.75" hidden="1">
      <c r="B550" s="33" t="s">
        <v>608</v>
      </c>
      <c r="C550" s="26" t="s">
        <v>620</v>
      </c>
      <c r="D550" s="26"/>
      <c r="G550" s="26">
        <v>0.043</v>
      </c>
      <c r="H550" s="91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5">
        <f t="shared" si="95"/>
        <v>0</v>
      </c>
      <c r="V550" s="36"/>
      <c r="W550" s="36"/>
      <c r="X550" s="36"/>
      <c r="Y550" s="36"/>
      <c r="Z550" s="36"/>
      <c r="AA550" s="36"/>
      <c r="AB550" s="37"/>
      <c r="AC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</row>
    <row r="551" spans="2:47" ht="12.75" hidden="1">
      <c r="B551" s="33" t="s">
        <v>609</v>
      </c>
      <c r="C551" s="26" t="s">
        <v>621</v>
      </c>
      <c r="D551" s="26"/>
      <c r="G551" s="26">
        <v>0.003</v>
      </c>
      <c r="H551" s="91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5">
        <f t="shared" si="95"/>
        <v>0</v>
      </c>
      <c r="V551" s="36"/>
      <c r="W551" s="36"/>
      <c r="X551" s="36"/>
      <c r="Y551" s="36"/>
      <c r="Z551" s="36"/>
      <c r="AA551" s="36"/>
      <c r="AB551" s="37"/>
      <c r="AC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</row>
    <row r="552" spans="2:47" ht="12.75">
      <c r="B552" s="252" t="s">
        <v>1460</v>
      </c>
      <c r="C552" s="103" t="s">
        <v>1422</v>
      </c>
      <c r="D552" s="103">
        <f>3.826-2.336</f>
        <v>1.4900000000000002</v>
      </c>
      <c r="E552" s="169">
        <v>38018</v>
      </c>
      <c r="F552" s="169">
        <v>38777</v>
      </c>
      <c r="G552" s="10">
        <f>SUM(G542:G551)</f>
        <v>0.468</v>
      </c>
      <c r="H552" s="91"/>
      <c r="I552" s="13"/>
      <c r="J552" s="13"/>
      <c r="K552" s="13"/>
      <c r="L552" s="13">
        <v>0.775</v>
      </c>
      <c r="M552" s="13"/>
      <c r="N552" s="13"/>
      <c r="O552" s="13"/>
      <c r="P552" s="13"/>
      <c r="Q552" s="13"/>
      <c r="R552" s="13"/>
      <c r="S552" s="13">
        <v>3.051</v>
      </c>
      <c r="T552" s="5">
        <f t="shared" si="95"/>
        <v>0.775</v>
      </c>
      <c r="V552" s="36">
        <f>0.357+0.841+0.104+0.022-0.548</f>
        <v>0.776</v>
      </c>
      <c r="W552" s="36"/>
      <c r="X552" s="36"/>
      <c r="Y552" s="36"/>
      <c r="AA552" s="36">
        <f>SUM(AE552:AT552)</f>
        <v>0.6490000000000002</v>
      </c>
      <c r="AB552" s="37">
        <v>0.065</v>
      </c>
      <c r="AC552" s="37">
        <f>SUM(V552:AB552)</f>
        <v>1.4900000000000002</v>
      </c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>
        <f>2.563-0.126-1.336-0.452</f>
        <v>0.6490000000000002</v>
      </c>
      <c r="AU552" s="37">
        <f t="shared" si="93"/>
        <v>0.6490000000000002</v>
      </c>
    </row>
    <row r="553" spans="2:47" ht="12.75" hidden="1">
      <c r="B553" s="33" t="s">
        <v>1713</v>
      </c>
      <c r="C553" s="26" t="s">
        <v>1714</v>
      </c>
      <c r="D553" s="5"/>
      <c r="G553" s="10">
        <v>0.319</v>
      </c>
      <c r="H553" s="91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5">
        <f t="shared" si="95"/>
        <v>0</v>
      </c>
      <c r="V553" s="36"/>
      <c r="W553" s="36"/>
      <c r="X553" s="36"/>
      <c r="Y553" s="36"/>
      <c r="Z553" s="36"/>
      <c r="AA553" s="36"/>
      <c r="AB553" s="37"/>
      <c r="AC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>
        <f t="shared" si="93"/>
        <v>0</v>
      </c>
    </row>
    <row r="554" spans="2:47" ht="12.75">
      <c r="B554" s="252" t="s">
        <v>1460</v>
      </c>
      <c r="C554" s="103" t="s">
        <v>1364</v>
      </c>
      <c r="D554" s="103">
        <v>0.514</v>
      </c>
      <c r="E554" s="169">
        <v>38078</v>
      </c>
      <c r="F554" s="169">
        <v>38595</v>
      </c>
      <c r="G554" s="10">
        <f>SUM(G553:G553)</f>
        <v>0.319</v>
      </c>
      <c r="H554" s="91">
        <v>0.054</v>
      </c>
      <c r="I554" s="13">
        <v>0.029</v>
      </c>
      <c r="J554" s="13">
        <v>0.032</v>
      </c>
      <c r="K554" s="13">
        <v>0.004</v>
      </c>
      <c r="L554" s="13">
        <v>0.149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0.246</v>
      </c>
      <c r="T554" s="5">
        <f t="shared" si="95"/>
        <v>0.268</v>
      </c>
      <c r="V554" s="36">
        <f>0.233+0.039</f>
        <v>0.272</v>
      </c>
      <c r="W554" s="36"/>
      <c r="X554" s="36"/>
      <c r="Y554" s="36"/>
      <c r="Z554" s="36"/>
      <c r="AA554" s="36">
        <f>SUM(AE554:AT554)</f>
        <v>0.242</v>
      </c>
      <c r="AB554" s="36"/>
      <c r="AC554" s="37">
        <f>SUM(V554:AB554)</f>
        <v>0.514</v>
      </c>
      <c r="AE554" s="36"/>
      <c r="AF554" s="36"/>
      <c r="AG554" s="36">
        <v>0.242</v>
      </c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7">
        <f t="shared" si="93"/>
        <v>0.242</v>
      </c>
    </row>
    <row r="555" spans="2:47" ht="12.75" hidden="1">
      <c r="B555" s="27" t="s">
        <v>1700</v>
      </c>
      <c r="C555" s="84" t="s">
        <v>1701</v>
      </c>
      <c r="D555" s="26"/>
      <c r="E555" s="171"/>
      <c r="F555" s="171"/>
      <c r="G555" s="26">
        <v>0.018</v>
      </c>
      <c r="H555" s="91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5">
        <f t="shared" si="95"/>
        <v>0</v>
      </c>
      <c r="V555" s="36"/>
      <c r="W555" s="36"/>
      <c r="X555" s="36"/>
      <c r="Y555" s="36"/>
      <c r="Z555" s="36"/>
      <c r="AA555" s="36"/>
      <c r="AB555" s="36"/>
      <c r="AC555" s="37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7">
        <f t="shared" si="93"/>
        <v>0</v>
      </c>
    </row>
    <row r="556" spans="2:47" ht="12.75" hidden="1">
      <c r="B556" s="252" t="s">
        <v>1460</v>
      </c>
      <c r="C556" s="103" t="s">
        <v>1362</v>
      </c>
      <c r="D556" s="103">
        <v>0</v>
      </c>
      <c r="E556" s="169">
        <v>38078</v>
      </c>
      <c r="F556" s="169">
        <v>38595</v>
      </c>
      <c r="G556" s="10">
        <f aca="true" t="shared" si="96" ref="G556:T556">SUM(G555)</f>
        <v>0.018</v>
      </c>
      <c r="H556" s="91">
        <f t="shared" si="96"/>
        <v>0</v>
      </c>
      <c r="I556" s="13">
        <f t="shared" si="96"/>
        <v>0</v>
      </c>
      <c r="J556" s="13">
        <f t="shared" si="96"/>
        <v>0</v>
      </c>
      <c r="K556" s="13">
        <f t="shared" si="96"/>
        <v>0</v>
      </c>
      <c r="L556" s="13">
        <f t="shared" si="96"/>
        <v>0</v>
      </c>
      <c r="M556" s="13">
        <f t="shared" si="96"/>
        <v>0</v>
      </c>
      <c r="N556" s="13">
        <f t="shared" si="96"/>
        <v>0</v>
      </c>
      <c r="O556" s="13">
        <f t="shared" si="96"/>
        <v>0</v>
      </c>
      <c r="P556" s="13">
        <f t="shared" si="96"/>
        <v>0</v>
      </c>
      <c r="Q556" s="13">
        <f t="shared" si="96"/>
        <v>0</v>
      </c>
      <c r="R556" s="13">
        <f t="shared" si="96"/>
        <v>0</v>
      </c>
      <c r="S556" s="13">
        <f t="shared" si="96"/>
        <v>0</v>
      </c>
      <c r="T556" s="10">
        <f t="shared" si="96"/>
        <v>0</v>
      </c>
      <c r="V556" s="36"/>
      <c r="W556" s="36"/>
      <c r="X556" s="36"/>
      <c r="Y556" s="36"/>
      <c r="Z556" s="36"/>
      <c r="AA556" s="36">
        <f aca="true" t="shared" si="97" ref="AA556:AA564">SUM(AE556:AT556)</f>
        <v>0</v>
      </c>
      <c r="AB556" s="37"/>
      <c r="AC556" s="37">
        <f aca="true" t="shared" si="98" ref="AC556:AC566">SUM(V556:AB556)</f>
        <v>0</v>
      </c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>
        <f t="shared" si="93"/>
        <v>0</v>
      </c>
    </row>
    <row r="557" spans="3:47" ht="12.75" hidden="1">
      <c r="C557" s="26" t="s">
        <v>1423</v>
      </c>
      <c r="D557" s="5"/>
      <c r="E557" s="24">
        <v>37741</v>
      </c>
      <c r="F557" s="169">
        <v>39172</v>
      </c>
      <c r="G557" s="10"/>
      <c r="H557" s="91">
        <f aca="true" t="shared" si="99" ref="H557:S557">$D557/12</f>
        <v>0</v>
      </c>
      <c r="I557" s="13">
        <f t="shared" si="99"/>
        <v>0</v>
      </c>
      <c r="J557" s="13">
        <f t="shared" si="99"/>
        <v>0</v>
      </c>
      <c r="K557" s="13">
        <f t="shared" si="99"/>
        <v>0</v>
      </c>
      <c r="L557" s="13">
        <f t="shared" si="99"/>
        <v>0</v>
      </c>
      <c r="M557" s="13">
        <f t="shared" si="99"/>
        <v>0</v>
      </c>
      <c r="N557" s="13">
        <f t="shared" si="99"/>
        <v>0</v>
      </c>
      <c r="O557" s="13">
        <f t="shared" si="99"/>
        <v>0</v>
      </c>
      <c r="P557" s="13">
        <f t="shared" si="99"/>
        <v>0</v>
      </c>
      <c r="Q557" s="13">
        <f t="shared" si="99"/>
        <v>0</v>
      </c>
      <c r="R557" s="13">
        <f t="shared" si="99"/>
        <v>0</v>
      </c>
      <c r="S557" s="13">
        <f t="shared" si="99"/>
        <v>0</v>
      </c>
      <c r="T557" s="5">
        <f aca="true" t="shared" si="100" ref="T557:T564">SUM(H557:N557)</f>
        <v>0</v>
      </c>
      <c r="V557" s="36"/>
      <c r="W557" s="36"/>
      <c r="X557" s="36"/>
      <c r="Y557" s="36"/>
      <c r="Z557" s="36"/>
      <c r="AA557" s="36">
        <f t="shared" si="97"/>
        <v>0</v>
      </c>
      <c r="AB557" s="36"/>
      <c r="AC557" s="37">
        <f t="shared" si="98"/>
        <v>0</v>
      </c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7">
        <f t="shared" si="93"/>
        <v>0</v>
      </c>
    </row>
    <row r="558" spans="2:47" ht="12.75">
      <c r="B558" s="33" t="s">
        <v>607</v>
      </c>
      <c r="C558" s="26" t="s">
        <v>442</v>
      </c>
      <c r="D558" s="5">
        <v>0.007</v>
      </c>
      <c r="E558" s="24"/>
      <c r="G558" s="10">
        <v>0.032</v>
      </c>
      <c r="H558" s="91">
        <v>0</v>
      </c>
      <c r="I558" s="13">
        <v>0</v>
      </c>
      <c r="J558" s="13">
        <v>0</v>
      </c>
      <c r="K558" s="13">
        <v>0.007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5">
        <f t="shared" si="100"/>
        <v>0.007</v>
      </c>
      <c r="V558" s="36">
        <v>0.007</v>
      </c>
      <c r="W558" s="36"/>
      <c r="X558" s="36"/>
      <c r="Y558" s="36"/>
      <c r="AA558" s="36">
        <f>SUM(AE558:AT558)</f>
        <v>0</v>
      </c>
      <c r="AB558" s="37"/>
      <c r="AC558" s="37">
        <f t="shared" si="98"/>
        <v>0.007</v>
      </c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7">
        <f t="shared" si="93"/>
        <v>0</v>
      </c>
    </row>
    <row r="559" spans="2:47" ht="12.75">
      <c r="B559" s="33" t="s">
        <v>1647</v>
      </c>
      <c r="C559" s="5" t="s">
        <v>1424</v>
      </c>
      <c r="D559" s="5">
        <v>0.068</v>
      </c>
      <c r="E559" s="24">
        <v>38107</v>
      </c>
      <c r="F559" s="169">
        <v>38960</v>
      </c>
      <c r="G559" s="10">
        <v>0.009</v>
      </c>
      <c r="H559" s="91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0.068</v>
      </c>
      <c r="T559" s="5">
        <f t="shared" si="100"/>
        <v>0</v>
      </c>
      <c r="V559" s="36">
        <f>0.097-0.029</f>
        <v>0.068</v>
      </c>
      <c r="W559" s="36"/>
      <c r="X559" s="36"/>
      <c r="Y559" s="36"/>
      <c r="AA559" s="36">
        <f t="shared" si="97"/>
        <v>0</v>
      </c>
      <c r="AB559" s="37"/>
      <c r="AC559" s="37">
        <f t="shared" si="98"/>
        <v>0.068</v>
      </c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>
        <f t="shared" si="93"/>
        <v>0</v>
      </c>
    </row>
    <row r="560" spans="2:47" ht="12.75">
      <c r="B560" s="33" t="s">
        <v>1538</v>
      </c>
      <c r="C560" s="5" t="s">
        <v>1543</v>
      </c>
      <c r="D560" s="5">
        <v>0.192</v>
      </c>
      <c r="E560" s="24">
        <v>38565</v>
      </c>
      <c r="F560" s="169">
        <v>38412</v>
      </c>
      <c r="G560" s="10">
        <v>0.027</v>
      </c>
      <c r="H560" s="91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>
        <v>0.192</v>
      </c>
      <c r="T560" s="5">
        <f t="shared" si="100"/>
        <v>0</v>
      </c>
      <c r="V560" s="36"/>
      <c r="W560" s="36"/>
      <c r="X560" s="36"/>
      <c r="Y560" s="36"/>
      <c r="Z560" s="36"/>
      <c r="AA560" s="36">
        <f>SUM(AE560:AT560)</f>
        <v>0.192</v>
      </c>
      <c r="AB560" s="37"/>
      <c r="AC560" s="37">
        <f t="shared" si="98"/>
        <v>0.192</v>
      </c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>
        <v>0.192</v>
      </c>
      <c r="AU560" s="37">
        <f t="shared" si="93"/>
        <v>0.192</v>
      </c>
    </row>
    <row r="561" spans="2:48" ht="12.75">
      <c r="B561" s="33" t="s">
        <v>1650</v>
      </c>
      <c r="C561" s="5" t="s">
        <v>1426</v>
      </c>
      <c r="D561" s="5">
        <v>1.686</v>
      </c>
      <c r="E561" s="24">
        <v>38108</v>
      </c>
      <c r="F561" s="169">
        <v>38292</v>
      </c>
      <c r="G561" s="10">
        <v>0.572</v>
      </c>
      <c r="H561" s="52">
        <v>0</v>
      </c>
      <c r="I561" s="6">
        <v>0</v>
      </c>
      <c r="J561" s="6">
        <v>0</v>
      </c>
      <c r="K561" s="6">
        <v>0.198</v>
      </c>
      <c r="L561" s="6">
        <v>0.105</v>
      </c>
      <c r="M561" s="6">
        <v>0.433</v>
      </c>
      <c r="N561" s="6">
        <v>0.185</v>
      </c>
      <c r="O561" s="6">
        <v>0.185</v>
      </c>
      <c r="P561" s="6">
        <v>0.195</v>
      </c>
      <c r="Q561" s="6">
        <v>0.15</v>
      </c>
      <c r="R561" s="6">
        <v>0.155</v>
      </c>
      <c r="S561" s="6">
        <v>0.08</v>
      </c>
      <c r="T561" s="5">
        <f t="shared" si="100"/>
        <v>0.921</v>
      </c>
      <c r="V561" s="36">
        <v>0.614</v>
      </c>
      <c r="W561" s="36"/>
      <c r="X561" s="36"/>
      <c r="Y561" s="36">
        <v>0.043</v>
      </c>
      <c r="AA561" s="36">
        <f t="shared" si="97"/>
        <v>1.029</v>
      </c>
      <c r="AB561" s="37"/>
      <c r="AC561" s="37">
        <f t="shared" si="98"/>
        <v>1.686</v>
      </c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>
        <v>1.029</v>
      </c>
      <c r="AP561" s="37"/>
      <c r="AQ561" s="37"/>
      <c r="AR561" s="37"/>
      <c r="AS561" s="37"/>
      <c r="AT561" s="37"/>
      <c r="AU561" s="37">
        <f t="shared" si="93"/>
        <v>1.029</v>
      </c>
      <c r="AV561" s="33" t="s">
        <v>1453</v>
      </c>
    </row>
    <row r="562" spans="2:47" ht="12.75">
      <c r="B562" s="33" t="s">
        <v>997</v>
      </c>
      <c r="C562" s="5" t="s">
        <v>441</v>
      </c>
      <c r="D562" s="5">
        <v>0.019</v>
      </c>
      <c r="E562" s="24"/>
      <c r="F562" s="169">
        <v>38200</v>
      </c>
      <c r="G562" s="10">
        <v>0.019</v>
      </c>
      <c r="H562" s="91">
        <v>0</v>
      </c>
      <c r="I562" s="13">
        <v>0</v>
      </c>
      <c r="J562" s="13">
        <v>0</v>
      </c>
      <c r="K562" s="13">
        <v>0</v>
      </c>
      <c r="L562" s="13">
        <v>0.019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/>
      <c r="T562" s="5">
        <f t="shared" si="100"/>
        <v>0.019</v>
      </c>
      <c r="V562" s="36"/>
      <c r="W562" s="36"/>
      <c r="X562" s="36"/>
      <c r="Y562" s="36"/>
      <c r="Z562" s="36"/>
      <c r="AA562" s="36">
        <f>SUM(AE562:AT562)</f>
        <v>0.019</v>
      </c>
      <c r="AB562" s="37"/>
      <c r="AC562" s="37">
        <f t="shared" si="98"/>
        <v>0.019</v>
      </c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>
        <v>0.019</v>
      </c>
      <c r="AU562" s="37">
        <f t="shared" si="93"/>
        <v>0.019</v>
      </c>
    </row>
    <row r="563" spans="2:47" ht="12.75">
      <c r="B563" s="33" t="s">
        <v>1486</v>
      </c>
      <c r="C563" s="5" t="s">
        <v>438</v>
      </c>
      <c r="D563" s="5">
        <v>0.066</v>
      </c>
      <c r="E563" s="24">
        <v>38078</v>
      </c>
      <c r="F563" s="169">
        <v>38442</v>
      </c>
      <c r="G563" s="10">
        <v>0.062</v>
      </c>
      <c r="H563" s="91">
        <v>0</v>
      </c>
      <c r="I563" s="13">
        <v>0</v>
      </c>
      <c r="J563" s="13">
        <v>0</v>
      </c>
      <c r="K563" s="13">
        <v>0</v>
      </c>
      <c r="L563" s="13">
        <v>0.066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5">
        <f t="shared" si="100"/>
        <v>0.066</v>
      </c>
      <c r="V563" s="36">
        <v>0.066</v>
      </c>
      <c r="W563" s="36"/>
      <c r="X563" s="36"/>
      <c r="Y563" s="36"/>
      <c r="AA563" s="36">
        <f>SUM(AE563:AT563)</f>
        <v>0</v>
      </c>
      <c r="AB563" s="37"/>
      <c r="AC563" s="37">
        <f t="shared" si="98"/>
        <v>0.066</v>
      </c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>
        <f t="shared" si="93"/>
        <v>0</v>
      </c>
    </row>
    <row r="564" spans="2:47" ht="12.75">
      <c r="B564" s="33" t="s">
        <v>207</v>
      </c>
      <c r="C564" s="5" t="s">
        <v>1384</v>
      </c>
      <c r="D564" s="5">
        <v>0.036</v>
      </c>
      <c r="E564" s="24">
        <v>38078</v>
      </c>
      <c r="F564" s="169">
        <v>38442</v>
      </c>
      <c r="G564" s="10">
        <v>0.009</v>
      </c>
      <c r="H564" s="91">
        <v>0.001</v>
      </c>
      <c r="I564" s="13">
        <v>0.001</v>
      </c>
      <c r="J564" s="13">
        <v>0.001</v>
      </c>
      <c r="K564" s="13">
        <v>0.001</v>
      </c>
      <c r="L564" s="13">
        <v>0.001</v>
      </c>
      <c r="M564" s="13">
        <v>0.001</v>
      </c>
      <c r="N564" s="13">
        <v>0.001</v>
      </c>
      <c r="O564" s="13">
        <v>0.001</v>
      </c>
      <c r="P564" s="13">
        <v>0.001</v>
      </c>
      <c r="Q564" s="13">
        <v>0.001</v>
      </c>
      <c r="R564" s="13">
        <v>0.001</v>
      </c>
      <c r="S564" s="13">
        <v>0.023</v>
      </c>
      <c r="T564" s="5">
        <f t="shared" si="100"/>
        <v>0.007</v>
      </c>
      <c r="V564" s="36">
        <v>0.036</v>
      </c>
      <c r="W564" s="36"/>
      <c r="X564" s="36"/>
      <c r="Y564" s="36"/>
      <c r="AA564" s="36">
        <f t="shared" si="97"/>
        <v>0</v>
      </c>
      <c r="AB564" s="37"/>
      <c r="AC564" s="37">
        <f t="shared" si="98"/>
        <v>0.036</v>
      </c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>
        <f t="shared" si="93"/>
        <v>0</v>
      </c>
    </row>
    <row r="565" spans="3:48" ht="12.75">
      <c r="C565" s="5" t="s">
        <v>1540</v>
      </c>
      <c r="D565" s="5">
        <v>0.386</v>
      </c>
      <c r="E565" s="24"/>
      <c r="G565" s="10"/>
      <c r="H565" s="91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5"/>
      <c r="V565" s="36"/>
      <c r="W565" s="36"/>
      <c r="X565" s="36"/>
      <c r="Y565" s="36"/>
      <c r="AA565" s="36">
        <f>SUM(AE565:AT565)</f>
        <v>0.386</v>
      </c>
      <c r="AB565" s="37"/>
      <c r="AC565" s="37">
        <f t="shared" si="98"/>
        <v>0.386</v>
      </c>
      <c r="AE565" s="37"/>
      <c r="AF565" s="37"/>
      <c r="AG565" s="37"/>
      <c r="AH565" s="37">
        <v>0.294</v>
      </c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>
        <v>0.092</v>
      </c>
      <c r="AU565" s="37">
        <f t="shared" si="93"/>
        <v>0.386</v>
      </c>
      <c r="AV565" s="33" t="s">
        <v>1542</v>
      </c>
    </row>
    <row r="566" spans="3:47" ht="13.5" thickBot="1">
      <c r="C566" s="5" t="s">
        <v>1541</v>
      </c>
      <c r="D566" s="5">
        <v>0.15</v>
      </c>
      <c r="E566" s="24"/>
      <c r="G566" s="10"/>
      <c r="H566" s="91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5"/>
      <c r="V566" s="36"/>
      <c r="W566" s="36"/>
      <c r="X566" s="36"/>
      <c r="Y566" s="36"/>
      <c r="AA566" s="36">
        <f>SUM(AE566:AT566)</f>
        <v>0.15</v>
      </c>
      <c r="AB566" s="37"/>
      <c r="AC566" s="37">
        <f t="shared" si="98"/>
        <v>0.15</v>
      </c>
      <c r="AE566" s="37"/>
      <c r="AF566" s="37"/>
      <c r="AG566" s="37"/>
      <c r="AH566" s="37">
        <v>0.15</v>
      </c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>
        <f t="shared" si="93"/>
        <v>0.15</v>
      </c>
    </row>
    <row r="567" spans="3:47" ht="13.5" thickBot="1">
      <c r="C567" s="8" t="s">
        <v>1365</v>
      </c>
      <c r="D567" s="25">
        <f>SUM(D420:D566)</f>
        <v>12.365999999999998</v>
      </c>
      <c r="E567" s="175"/>
      <c r="F567" s="179"/>
      <c r="G567" s="25">
        <f>SUM(G420:G566)-G466-G448-G474-G522-G527-G532-G538-G552-G554-G556</f>
        <v>5.160897749999999</v>
      </c>
      <c r="H567" s="97">
        <f aca="true" t="shared" si="101" ref="H567:T567">SUM(H420:H566)</f>
        <v>0.057</v>
      </c>
      <c r="I567" s="28">
        <f t="shared" si="101"/>
        <v>0.030000000000000002</v>
      </c>
      <c r="J567" s="28">
        <f t="shared" si="101"/>
        <v>0.079</v>
      </c>
      <c r="K567" s="28">
        <f t="shared" si="101"/>
        <v>0.279</v>
      </c>
      <c r="L567" s="28">
        <f t="shared" si="101"/>
        <v>3.066</v>
      </c>
      <c r="M567" s="28">
        <f t="shared" si="101"/>
        <v>1.121</v>
      </c>
      <c r="N567" s="28">
        <f t="shared" si="101"/>
        <v>0.838</v>
      </c>
      <c r="O567" s="28">
        <f t="shared" si="101"/>
        <v>0.41700000000000004</v>
      </c>
      <c r="P567" s="28">
        <f t="shared" si="101"/>
        <v>0.378</v>
      </c>
      <c r="Q567" s="28">
        <f t="shared" si="101"/>
        <v>0.245</v>
      </c>
      <c r="R567" s="28">
        <f t="shared" si="101"/>
        <v>0.25</v>
      </c>
      <c r="S567" s="50">
        <f t="shared" si="101"/>
        <v>7.9769999999999985</v>
      </c>
      <c r="T567" s="25">
        <f t="shared" si="101"/>
        <v>5.2219999999999995</v>
      </c>
      <c r="V567" s="30">
        <f aca="true" t="shared" si="102" ref="V567:AC567">SUM(V420:V566)</f>
        <v>4.218999999999999</v>
      </c>
      <c r="W567" s="30">
        <f t="shared" si="102"/>
        <v>0</v>
      </c>
      <c r="X567" s="30">
        <f t="shared" si="102"/>
        <v>0</v>
      </c>
      <c r="Y567" s="30">
        <f t="shared" si="102"/>
        <v>0.22899999999999998</v>
      </c>
      <c r="Z567" s="30">
        <f t="shared" si="102"/>
        <v>0</v>
      </c>
      <c r="AA567" s="30">
        <f t="shared" si="102"/>
        <v>7.852999999999999</v>
      </c>
      <c r="AB567" s="30">
        <f t="shared" si="102"/>
        <v>0.065</v>
      </c>
      <c r="AC567" s="30">
        <f t="shared" si="102"/>
        <v>12.365999999999998</v>
      </c>
      <c r="AE567" s="39">
        <f aca="true" t="shared" si="103" ref="AE567:AU567">SUM(AE420:AE566)</f>
        <v>0</v>
      </c>
      <c r="AF567" s="39">
        <f t="shared" si="103"/>
        <v>0</v>
      </c>
      <c r="AG567" s="39">
        <f t="shared" si="103"/>
        <v>2.59</v>
      </c>
      <c r="AH567" s="39">
        <f t="shared" si="103"/>
        <v>0.7859999999999999</v>
      </c>
      <c r="AI567" s="39">
        <f t="shared" si="103"/>
        <v>0</v>
      </c>
      <c r="AJ567" s="39">
        <f t="shared" si="103"/>
        <v>2.102</v>
      </c>
      <c r="AK567" s="39">
        <f t="shared" si="103"/>
        <v>0</v>
      </c>
      <c r="AL567" s="39">
        <f t="shared" si="103"/>
        <v>0</v>
      </c>
      <c r="AM567" s="39">
        <f t="shared" si="103"/>
        <v>0</v>
      </c>
      <c r="AN567" s="39">
        <f t="shared" si="103"/>
        <v>0</v>
      </c>
      <c r="AO567" s="39">
        <f t="shared" si="103"/>
        <v>1.029</v>
      </c>
      <c r="AP567" s="39">
        <f t="shared" si="103"/>
        <v>0.2</v>
      </c>
      <c r="AQ567" s="39">
        <f t="shared" si="103"/>
        <v>0</v>
      </c>
      <c r="AR567" s="39">
        <f t="shared" si="103"/>
        <v>0</v>
      </c>
      <c r="AS567" s="39">
        <f t="shared" si="103"/>
        <v>0</v>
      </c>
      <c r="AT567" s="39">
        <f t="shared" si="103"/>
        <v>1.1460000000000001</v>
      </c>
      <c r="AU567" s="39">
        <f t="shared" si="103"/>
        <v>7.852999999999999</v>
      </c>
    </row>
    <row r="568" spans="3:47" ht="12.75">
      <c r="C568" s="5"/>
      <c r="D568" s="5"/>
      <c r="E568" s="24"/>
      <c r="F568" s="170"/>
      <c r="G568" s="243"/>
      <c r="H568" s="91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95"/>
      <c r="T568" s="87"/>
      <c r="V568" s="36"/>
      <c r="W568" s="36"/>
      <c r="X568" s="36"/>
      <c r="Y568" s="36"/>
      <c r="Z568" s="36"/>
      <c r="AA568" s="36"/>
      <c r="AB568" s="37"/>
      <c r="AC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</row>
    <row r="569" spans="1:47" ht="12.75">
      <c r="A569" s="33" t="s">
        <v>1469</v>
      </c>
      <c r="C569" s="8" t="s">
        <v>1343</v>
      </c>
      <c r="D569" s="5"/>
      <c r="E569" s="24"/>
      <c r="F569" s="170"/>
      <c r="G569" s="243"/>
      <c r="H569" s="91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95"/>
      <c r="T569" s="87"/>
      <c r="V569" s="36"/>
      <c r="W569" s="36"/>
      <c r="X569" s="36"/>
      <c r="Y569" s="36"/>
      <c r="Z569" s="36"/>
      <c r="AA569" s="36"/>
      <c r="AB569" s="37"/>
      <c r="AC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>
        <f>SUM(AE569:AT569)</f>
        <v>0</v>
      </c>
    </row>
    <row r="570" spans="2:47" ht="12.75" hidden="1">
      <c r="B570" s="156" t="s">
        <v>281</v>
      </c>
      <c r="C570" s="157" t="s">
        <v>282</v>
      </c>
      <c r="D570" s="26">
        <v>0.005</v>
      </c>
      <c r="E570" s="158">
        <v>38078</v>
      </c>
      <c r="F570" s="159">
        <v>38412</v>
      </c>
      <c r="G570" s="10">
        <v>0.001</v>
      </c>
      <c r="H570" s="91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0.0007142857142857143</v>
      </c>
      <c r="N570" s="13">
        <v>0.0007142857142857143</v>
      </c>
      <c r="O570" s="13">
        <v>0.0007142857142857143</v>
      </c>
      <c r="P570" s="13">
        <v>0.0007142857142857143</v>
      </c>
      <c r="Q570" s="13">
        <v>0.0007142857142857143</v>
      </c>
      <c r="R570" s="13">
        <v>0.0007142857142857143</v>
      </c>
      <c r="S570" s="13">
        <v>0.0007142857142857143</v>
      </c>
      <c r="T570" s="5">
        <f aca="true" t="shared" si="104" ref="T570:T582">SUM(H570:N570)</f>
        <v>0.0014285714285714286</v>
      </c>
      <c r="V570" s="36"/>
      <c r="W570" s="36"/>
      <c r="X570" s="36"/>
      <c r="Y570" s="36"/>
      <c r="Z570" s="36"/>
      <c r="AA570" s="36"/>
      <c r="AB570" s="37"/>
      <c r="AC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</row>
    <row r="571" spans="2:47" ht="12.75" hidden="1">
      <c r="B571" s="156" t="s">
        <v>283</v>
      </c>
      <c r="C571" s="157" t="s">
        <v>307</v>
      </c>
      <c r="D571" s="26">
        <v>0.01</v>
      </c>
      <c r="E571" s="158">
        <v>38078</v>
      </c>
      <c r="F571" s="159">
        <v>38412</v>
      </c>
      <c r="G571" s="10"/>
      <c r="H571" s="91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0.0014285714285714286</v>
      </c>
      <c r="N571" s="13">
        <v>0.0014285714285714286</v>
      </c>
      <c r="O571" s="13">
        <v>0.0014285714285714286</v>
      </c>
      <c r="P571" s="13">
        <v>0.0014285714285714286</v>
      </c>
      <c r="Q571" s="13">
        <v>0.0014285714285714286</v>
      </c>
      <c r="R571" s="13">
        <v>0.0014285714285714286</v>
      </c>
      <c r="S571" s="13">
        <v>0.0014285714285714286</v>
      </c>
      <c r="T571" s="5">
        <f t="shared" si="104"/>
        <v>0.002857142857142857</v>
      </c>
      <c r="V571" s="36"/>
      <c r="W571" s="36"/>
      <c r="X571" s="36"/>
      <c r="Y571" s="36"/>
      <c r="Z571" s="36"/>
      <c r="AA571" s="36"/>
      <c r="AB571" s="37"/>
      <c r="AC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</row>
    <row r="572" spans="2:47" ht="12.75" hidden="1">
      <c r="B572" s="156" t="s">
        <v>308</v>
      </c>
      <c r="C572" s="157" t="s">
        <v>309</v>
      </c>
      <c r="D572" s="26">
        <v>0.005</v>
      </c>
      <c r="E572" s="158">
        <v>38078</v>
      </c>
      <c r="F572" s="159">
        <v>38412</v>
      </c>
      <c r="G572" s="10"/>
      <c r="H572" s="91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0.0007142857142857143</v>
      </c>
      <c r="N572" s="13">
        <v>0.0007142857142857143</v>
      </c>
      <c r="O572" s="13">
        <v>0.0007142857142857143</v>
      </c>
      <c r="P572" s="13">
        <v>0.0007142857142857143</v>
      </c>
      <c r="Q572" s="13">
        <v>0.0007142857142857143</v>
      </c>
      <c r="R572" s="13">
        <v>0.0007142857142857143</v>
      </c>
      <c r="S572" s="13">
        <v>0.0007142857142857143</v>
      </c>
      <c r="T572" s="5">
        <f t="shared" si="104"/>
        <v>0.0014285714285714286</v>
      </c>
      <c r="V572" s="36"/>
      <c r="W572" s="36"/>
      <c r="X572" s="36"/>
      <c r="Y572" s="36"/>
      <c r="Z572" s="36"/>
      <c r="AA572" s="36"/>
      <c r="AB572" s="37"/>
      <c r="AC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</row>
    <row r="573" spans="2:47" ht="12.75" hidden="1">
      <c r="B573" s="156" t="s">
        <v>310</v>
      </c>
      <c r="C573" s="157" t="s">
        <v>311</v>
      </c>
      <c r="D573" s="26">
        <v>0</v>
      </c>
      <c r="E573" s="158">
        <v>37316</v>
      </c>
      <c r="F573" s="159">
        <v>37500</v>
      </c>
      <c r="G573" s="10"/>
      <c r="H573" s="91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5">
        <f t="shared" si="104"/>
        <v>0</v>
      </c>
      <c r="V573" s="36"/>
      <c r="W573" s="36"/>
      <c r="X573" s="36"/>
      <c r="Y573" s="36"/>
      <c r="Z573" s="36"/>
      <c r="AA573" s="36"/>
      <c r="AB573" s="37"/>
      <c r="AC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</row>
    <row r="574" spans="2:47" ht="12.75" hidden="1">
      <c r="B574" s="156" t="s">
        <v>305</v>
      </c>
      <c r="C574" s="157" t="s">
        <v>306</v>
      </c>
      <c r="D574" s="26"/>
      <c r="E574" s="158"/>
      <c r="F574" s="159"/>
      <c r="G574" s="10">
        <v>0.001</v>
      </c>
      <c r="H574" s="91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5"/>
      <c r="V574" s="36"/>
      <c r="W574" s="36"/>
      <c r="X574" s="36"/>
      <c r="Y574" s="36"/>
      <c r="Z574" s="36"/>
      <c r="AA574" s="36"/>
      <c r="AB574" s="37"/>
      <c r="AC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</row>
    <row r="575" spans="2:47" ht="12.75" hidden="1">
      <c r="B575" s="156" t="s">
        <v>312</v>
      </c>
      <c r="C575" s="157" t="s">
        <v>313</v>
      </c>
      <c r="D575" s="26">
        <v>0.067</v>
      </c>
      <c r="E575" s="158">
        <v>37987</v>
      </c>
      <c r="F575" s="159">
        <v>38078</v>
      </c>
      <c r="G575" s="10">
        <v>0.004</v>
      </c>
      <c r="H575" s="91">
        <v>0.062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5">
        <f t="shared" si="104"/>
        <v>0.062</v>
      </c>
      <c r="V575" s="36"/>
      <c r="W575" s="36"/>
      <c r="X575" s="36"/>
      <c r="Y575" s="36"/>
      <c r="Z575" s="36"/>
      <c r="AA575" s="36"/>
      <c r="AB575" s="37"/>
      <c r="AC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</row>
    <row r="576" spans="2:47" ht="12.75" hidden="1">
      <c r="B576" s="156" t="s">
        <v>314</v>
      </c>
      <c r="C576" s="157" t="s">
        <v>315</v>
      </c>
      <c r="D576" s="26">
        <v>0.001</v>
      </c>
      <c r="E576" s="158">
        <v>37834</v>
      </c>
      <c r="F576" s="159">
        <v>37865</v>
      </c>
      <c r="G576" s="10"/>
      <c r="H576" s="91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5">
        <f t="shared" si="104"/>
        <v>0</v>
      </c>
      <c r="V576" s="36"/>
      <c r="W576" s="36"/>
      <c r="X576" s="36"/>
      <c r="Y576" s="36"/>
      <c r="Z576" s="36"/>
      <c r="AA576" s="36"/>
      <c r="AB576" s="37"/>
      <c r="AC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</row>
    <row r="577" spans="2:47" ht="12.75" hidden="1">
      <c r="B577" s="156" t="s">
        <v>316</v>
      </c>
      <c r="C577" s="157" t="s">
        <v>317</v>
      </c>
      <c r="D577" s="26">
        <v>0</v>
      </c>
      <c r="E577" s="158">
        <v>37196</v>
      </c>
      <c r="F577" s="159">
        <v>37288</v>
      </c>
      <c r="G577" s="10"/>
      <c r="H577" s="91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5">
        <f t="shared" si="104"/>
        <v>0</v>
      </c>
      <c r="V577" s="36"/>
      <c r="W577" s="36"/>
      <c r="X577" s="36"/>
      <c r="Y577" s="36"/>
      <c r="Z577" s="36"/>
      <c r="AA577" s="36"/>
      <c r="AB577" s="37"/>
      <c r="AC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</row>
    <row r="578" spans="2:47" ht="12.75" hidden="1">
      <c r="B578" s="156" t="s">
        <v>318</v>
      </c>
      <c r="C578" s="157" t="s">
        <v>319</v>
      </c>
      <c r="D578" s="26">
        <v>0</v>
      </c>
      <c r="E578" s="158">
        <v>37257</v>
      </c>
      <c r="F578" s="159">
        <v>37377</v>
      </c>
      <c r="G578" s="10"/>
      <c r="H578" s="91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5">
        <f t="shared" si="104"/>
        <v>0</v>
      </c>
      <c r="V578" s="36"/>
      <c r="W578" s="36"/>
      <c r="X578" s="36"/>
      <c r="Y578" s="36"/>
      <c r="Z578" s="36"/>
      <c r="AA578" s="36"/>
      <c r="AB578" s="37"/>
      <c r="AC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</row>
    <row r="579" spans="2:47" ht="12.75" hidden="1">
      <c r="B579" s="156" t="s">
        <v>320</v>
      </c>
      <c r="C579" s="157" t="s">
        <v>321</v>
      </c>
      <c r="D579" s="26">
        <v>0.002</v>
      </c>
      <c r="E579" s="158">
        <v>37834</v>
      </c>
      <c r="F579" s="159">
        <v>38047</v>
      </c>
      <c r="G579" s="10">
        <v>0.001</v>
      </c>
      <c r="H579" s="91">
        <v>0.00016666666666666666</v>
      </c>
      <c r="I579" s="13">
        <v>0.00016666666666666666</v>
      </c>
      <c r="J579" s="13">
        <v>0.00016666666666666666</v>
      </c>
      <c r="K579" s="13">
        <v>0.00016666666666666666</v>
      </c>
      <c r="L579" s="13">
        <v>0.00016666666666666666</v>
      </c>
      <c r="M579" s="13">
        <v>0.00016666666666666666</v>
      </c>
      <c r="N579" s="13">
        <v>0.00016666666666666666</v>
      </c>
      <c r="O579" s="13">
        <v>0.00016666666666666666</v>
      </c>
      <c r="P579" s="13">
        <v>0.00016666666666666666</v>
      </c>
      <c r="Q579" s="13">
        <v>0.00016666666666666666</v>
      </c>
      <c r="R579" s="13">
        <v>0.00016666666666666666</v>
      </c>
      <c r="S579" s="13">
        <v>0.00016666666666666666</v>
      </c>
      <c r="T579" s="5">
        <f t="shared" si="104"/>
        <v>0.0011666666666666668</v>
      </c>
      <c r="V579" s="36"/>
      <c r="W579" s="36"/>
      <c r="X579" s="36"/>
      <c r="Y579" s="36"/>
      <c r="Z579" s="36"/>
      <c r="AA579" s="36"/>
      <c r="AB579" s="37"/>
      <c r="AC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</row>
    <row r="580" spans="2:47" ht="12.75" hidden="1">
      <c r="B580" s="156" t="s">
        <v>322</v>
      </c>
      <c r="C580" s="157" t="s">
        <v>323</v>
      </c>
      <c r="D580" s="26">
        <v>0</v>
      </c>
      <c r="E580" s="158">
        <v>37622</v>
      </c>
      <c r="F580" s="159">
        <v>37681</v>
      </c>
      <c r="G580" s="10"/>
      <c r="H580" s="91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5">
        <f t="shared" si="104"/>
        <v>0</v>
      </c>
      <c r="V580" s="36"/>
      <c r="W580" s="36"/>
      <c r="X580" s="36"/>
      <c r="Y580" s="36"/>
      <c r="Z580" s="36"/>
      <c r="AA580" s="36"/>
      <c r="AB580" s="37"/>
      <c r="AC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</row>
    <row r="581" spans="2:47" ht="12.75" hidden="1">
      <c r="B581" s="156" t="s">
        <v>324</v>
      </c>
      <c r="C581" s="157" t="s">
        <v>509</v>
      </c>
      <c r="D581" s="26">
        <v>0.067</v>
      </c>
      <c r="E581" s="158">
        <v>37865</v>
      </c>
      <c r="F581" s="159">
        <v>38108</v>
      </c>
      <c r="G581" s="10">
        <v>0.067</v>
      </c>
      <c r="H581" s="91">
        <v>0.062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5">
        <f t="shared" si="104"/>
        <v>0.062</v>
      </c>
      <c r="V581" s="36"/>
      <c r="W581" s="36"/>
      <c r="X581" s="36"/>
      <c r="Y581" s="36"/>
      <c r="Z581" s="36"/>
      <c r="AA581" s="36"/>
      <c r="AB581" s="37"/>
      <c r="AC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</row>
    <row r="582" spans="2:47" ht="12.75" hidden="1">
      <c r="B582" s="33" t="s">
        <v>1634</v>
      </c>
      <c r="C582" s="5" t="s">
        <v>1633</v>
      </c>
      <c r="D582" s="5">
        <v>0.175</v>
      </c>
      <c r="E582" s="24">
        <v>37895</v>
      </c>
      <c r="F582" s="170">
        <v>38412</v>
      </c>
      <c r="G582" s="10">
        <v>0.025</v>
      </c>
      <c r="H582" s="91">
        <v>0.018</v>
      </c>
      <c r="I582" s="13">
        <v>0</v>
      </c>
      <c r="J582" s="13">
        <v>0</v>
      </c>
      <c r="K582" s="13">
        <v>0</v>
      </c>
      <c r="L582" s="13">
        <v>0</v>
      </c>
      <c r="M582" s="13">
        <v>0.02242857142857143</v>
      </c>
      <c r="N582" s="13">
        <v>0.02242857142857143</v>
      </c>
      <c r="O582" s="13">
        <v>0.02242857142857143</v>
      </c>
      <c r="P582" s="13">
        <v>0.02242857142857143</v>
      </c>
      <c r="Q582" s="13">
        <v>0.02242857142857143</v>
      </c>
      <c r="R582" s="13">
        <v>0.02242857142857143</v>
      </c>
      <c r="S582" s="13">
        <v>0.02242857142857143</v>
      </c>
      <c r="T582" s="5">
        <f t="shared" si="104"/>
        <v>0.06285714285714286</v>
      </c>
      <c r="V582" s="36"/>
      <c r="W582" s="36"/>
      <c r="X582" s="36"/>
      <c r="Y582" s="36"/>
      <c r="Z582" s="36"/>
      <c r="AA582" s="36"/>
      <c r="AB582" s="37"/>
      <c r="AC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</row>
    <row r="583" spans="2:47" ht="12.75" hidden="1">
      <c r="B583" s="33" t="s">
        <v>864</v>
      </c>
      <c r="C583" s="5" t="s">
        <v>313</v>
      </c>
      <c r="D583" s="5"/>
      <c r="E583" s="24"/>
      <c r="F583" s="170"/>
      <c r="G583" s="10">
        <v>0.063</v>
      </c>
      <c r="H583" s="91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5"/>
      <c r="V583" s="36"/>
      <c r="W583" s="36"/>
      <c r="X583" s="36"/>
      <c r="Y583" s="36"/>
      <c r="Z583" s="36"/>
      <c r="AA583" s="36"/>
      <c r="AB583" s="37"/>
      <c r="AC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</row>
    <row r="584" spans="2:47" ht="12.75" hidden="1">
      <c r="B584" s="156" t="s">
        <v>325</v>
      </c>
      <c r="C584" s="157" t="s">
        <v>326</v>
      </c>
      <c r="D584" s="26">
        <v>0.02</v>
      </c>
      <c r="E584" s="158">
        <v>38231</v>
      </c>
      <c r="F584" s="159">
        <v>38412</v>
      </c>
      <c r="G584" s="10">
        <v>0.001</v>
      </c>
      <c r="H584" s="91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0.002857142857142857</v>
      </c>
      <c r="N584" s="13">
        <v>0.002857142857142857</v>
      </c>
      <c r="O584" s="13">
        <v>0.002857142857142857</v>
      </c>
      <c r="P584" s="13">
        <v>0.002857142857142857</v>
      </c>
      <c r="Q584" s="13">
        <v>0.002857142857142857</v>
      </c>
      <c r="R584" s="13">
        <v>0.002857142857142857</v>
      </c>
      <c r="S584" s="13">
        <v>0.002857142857142857</v>
      </c>
      <c r="T584" s="5">
        <f aca="true" t="shared" si="105" ref="T584:T590">SUM(H584:N584)</f>
        <v>0.005714285714285714</v>
      </c>
      <c r="V584" s="36"/>
      <c r="W584" s="36"/>
      <c r="X584" s="36"/>
      <c r="Y584" s="36"/>
      <c r="Z584" s="36"/>
      <c r="AA584" s="36"/>
      <c r="AB584" s="37"/>
      <c r="AC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</row>
    <row r="585" spans="2:47" ht="12.75" hidden="1">
      <c r="B585" s="156" t="s">
        <v>327</v>
      </c>
      <c r="C585" s="157" t="s">
        <v>328</v>
      </c>
      <c r="D585" s="26">
        <v>0.061</v>
      </c>
      <c r="E585" s="158">
        <v>38108</v>
      </c>
      <c r="F585" s="159">
        <v>38139</v>
      </c>
      <c r="G585" s="10">
        <v>0.058</v>
      </c>
      <c r="H585" s="91">
        <v>0.026</v>
      </c>
      <c r="I585" s="13">
        <v>0.026</v>
      </c>
      <c r="J585" s="13">
        <v>0.026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5">
        <f t="shared" si="105"/>
        <v>0.078</v>
      </c>
      <c r="V585" s="36"/>
      <c r="W585" s="36"/>
      <c r="X585" s="36"/>
      <c r="Y585" s="36"/>
      <c r="Z585" s="36"/>
      <c r="AA585" s="36"/>
      <c r="AB585" s="37"/>
      <c r="AC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</row>
    <row r="586" spans="2:47" ht="12.75" hidden="1">
      <c r="B586" s="156" t="s">
        <v>329</v>
      </c>
      <c r="C586" s="157" t="s">
        <v>330</v>
      </c>
      <c r="D586" s="26">
        <v>0.005</v>
      </c>
      <c r="E586" s="158">
        <v>38018</v>
      </c>
      <c r="F586" s="159">
        <v>38169</v>
      </c>
      <c r="G586" s="10"/>
      <c r="H586" s="91">
        <v>0.001</v>
      </c>
      <c r="I586" s="13">
        <v>0.001</v>
      </c>
      <c r="J586" s="13">
        <v>0.001</v>
      </c>
      <c r="K586" s="13">
        <v>0.002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5">
        <f t="shared" si="105"/>
        <v>0.005</v>
      </c>
      <c r="V586" s="36"/>
      <c r="W586" s="36"/>
      <c r="X586" s="36"/>
      <c r="Y586" s="36"/>
      <c r="Z586" s="36"/>
      <c r="AA586" s="36"/>
      <c r="AB586" s="37"/>
      <c r="AC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</row>
    <row r="587" spans="2:47" ht="12.75" hidden="1">
      <c r="B587" s="156" t="s">
        <v>331</v>
      </c>
      <c r="C587" s="157" t="s">
        <v>332</v>
      </c>
      <c r="D587" s="26">
        <v>0.152</v>
      </c>
      <c r="E587" s="158">
        <v>38169</v>
      </c>
      <c r="F587" s="159">
        <v>38261</v>
      </c>
      <c r="G587" s="10">
        <v>0.105</v>
      </c>
      <c r="H587" s="91">
        <v>0.001</v>
      </c>
      <c r="I587" s="13">
        <v>0</v>
      </c>
      <c r="J587" s="13">
        <v>0</v>
      </c>
      <c r="K587" s="13"/>
      <c r="L587" s="13"/>
      <c r="M587" s="13">
        <v>0.034</v>
      </c>
      <c r="N587" s="13">
        <v>0.034</v>
      </c>
      <c r="O587" s="13">
        <v>0.034</v>
      </c>
      <c r="P587" s="13">
        <v>0.05</v>
      </c>
      <c r="Q587" s="13">
        <v>0</v>
      </c>
      <c r="R587" s="13">
        <v>0</v>
      </c>
      <c r="S587" s="13">
        <v>0</v>
      </c>
      <c r="T587" s="5">
        <f t="shared" si="105"/>
        <v>0.069</v>
      </c>
      <c r="V587" s="36"/>
      <c r="W587" s="36"/>
      <c r="X587" s="36"/>
      <c r="Y587" s="36"/>
      <c r="Z587" s="36"/>
      <c r="AA587" s="36"/>
      <c r="AB587" s="37"/>
      <c r="AC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</row>
    <row r="588" spans="2:47" ht="12.75" hidden="1">
      <c r="B588" s="156" t="s">
        <v>333</v>
      </c>
      <c r="C588" s="157" t="s">
        <v>334</v>
      </c>
      <c r="D588" s="26">
        <v>0.051</v>
      </c>
      <c r="E588" s="158">
        <v>38169</v>
      </c>
      <c r="F588" s="159">
        <v>38261</v>
      </c>
      <c r="G588" s="10">
        <v>0.047</v>
      </c>
      <c r="H588" s="91">
        <v>0.012</v>
      </c>
      <c r="I588" s="13">
        <v>0</v>
      </c>
      <c r="J588" s="13">
        <v>0</v>
      </c>
      <c r="K588" s="13">
        <v>0.01</v>
      </c>
      <c r="L588" s="13">
        <v>0.0125</v>
      </c>
      <c r="M588" s="13">
        <v>0.010199999999999999</v>
      </c>
      <c r="N588" s="13">
        <v>0.010199999999999999</v>
      </c>
      <c r="O588" s="13">
        <v>0.0034399999999999986</v>
      </c>
      <c r="P588" s="13">
        <v>0</v>
      </c>
      <c r="Q588" s="13">
        <v>0</v>
      </c>
      <c r="R588" s="13">
        <v>0</v>
      </c>
      <c r="S588" s="13">
        <v>0</v>
      </c>
      <c r="T588" s="5">
        <f t="shared" si="105"/>
        <v>0.054900000000000004</v>
      </c>
      <c r="V588" s="36"/>
      <c r="W588" s="36"/>
      <c r="X588" s="36"/>
      <c r="Y588" s="36"/>
      <c r="Z588" s="36"/>
      <c r="AA588" s="36"/>
      <c r="AB588" s="37"/>
      <c r="AC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</row>
    <row r="589" spans="2:47" ht="12.75" hidden="1">
      <c r="B589" s="156" t="s">
        <v>335</v>
      </c>
      <c r="C589" s="157" t="s">
        <v>336</v>
      </c>
      <c r="D589" s="26">
        <v>0.157</v>
      </c>
      <c r="E589" s="158">
        <v>38200</v>
      </c>
      <c r="F589" s="159">
        <v>38261</v>
      </c>
      <c r="G589" s="10">
        <v>0.04</v>
      </c>
      <c r="H589" s="91">
        <v>0.001</v>
      </c>
      <c r="I589" s="13">
        <v>0</v>
      </c>
      <c r="J589" s="13">
        <v>0</v>
      </c>
      <c r="K589" s="13">
        <v>0</v>
      </c>
      <c r="L589" s="13">
        <v>0.0242</v>
      </c>
      <c r="M589" s="13">
        <v>0.024399999999999998</v>
      </c>
      <c r="N589" s="13">
        <v>0.024399999999999998</v>
      </c>
      <c r="O589" s="13">
        <v>0.01764</v>
      </c>
      <c r="P589" s="13">
        <v>0</v>
      </c>
      <c r="Q589" s="13">
        <v>0</v>
      </c>
      <c r="R589" s="13">
        <v>0</v>
      </c>
      <c r="S589" s="13">
        <v>0</v>
      </c>
      <c r="T589" s="5">
        <f t="shared" si="105"/>
        <v>0.074</v>
      </c>
      <c r="V589" s="36"/>
      <c r="W589" s="36"/>
      <c r="X589" s="36"/>
      <c r="Y589" s="36"/>
      <c r="Z589" s="36"/>
      <c r="AA589" s="36"/>
      <c r="AB589" s="37"/>
      <c r="AC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</row>
    <row r="590" spans="2:47" ht="12.75" hidden="1">
      <c r="B590" s="156" t="s">
        <v>337</v>
      </c>
      <c r="C590" s="157" t="s">
        <v>338</v>
      </c>
      <c r="D590" s="26">
        <v>0.044</v>
      </c>
      <c r="E590" s="158">
        <v>38353</v>
      </c>
      <c r="F590" s="159">
        <v>38412</v>
      </c>
      <c r="G590" s="10"/>
      <c r="H590" s="91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0.015</v>
      </c>
      <c r="R590" s="13">
        <v>0.015</v>
      </c>
      <c r="S590" s="13">
        <v>0.014</v>
      </c>
      <c r="T590" s="5">
        <f t="shared" si="105"/>
        <v>0</v>
      </c>
      <c r="V590" s="36"/>
      <c r="W590" s="36"/>
      <c r="X590" s="36"/>
      <c r="Y590" s="36"/>
      <c r="Z590" s="36"/>
      <c r="AA590" s="36"/>
      <c r="AB590" s="37"/>
      <c r="AC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</row>
    <row r="591" spans="2:47" ht="12.75" hidden="1">
      <c r="B591" s="156"/>
      <c r="C591" s="157" t="s">
        <v>1570</v>
      </c>
      <c r="D591" s="26">
        <v>0.03</v>
      </c>
      <c r="E591" s="158">
        <v>38078</v>
      </c>
      <c r="F591" s="159">
        <v>38231</v>
      </c>
      <c r="G591" s="10"/>
      <c r="H591" s="91"/>
      <c r="I591" s="13"/>
      <c r="J591" s="13"/>
      <c r="K591" s="13"/>
      <c r="L591" s="13"/>
      <c r="M591" s="13"/>
      <c r="N591" s="13">
        <v>0.03</v>
      </c>
      <c r="O591" s="13"/>
      <c r="P591" s="13"/>
      <c r="Q591" s="13"/>
      <c r="R591" s="13"/>
      <c r="S591" s="13"/>
      <c r="T591" s="5"/>
      <c r="V591" s="36"/>
      <c r="W591" s="36"/>
      <c r="X591" s="36"/>
      <c r="Y591" s="36"/>
      <c r="Z591" s="36"/>
      <c r="AA591" s="36"/>
      <c r="AB591" s="37"/>
      <c r="AC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</row>
    <row r="592" spans="2:47" ht="12.75" hidden="1">
      <c r="B592" s="156" t="s">
        <v>339</v>
      </c>
      <c r="C592" s="157" t="s">
        <v>340</v>
      </c>
      <c r="D592" s="26">
        <v>0</v>
      </c>
      <c r="E592" s="158"/>
      <c r="F592" s="159"/>
      <c r="G592" s="10"/>
      <c r="H592" s="91">
        <v>0.009333333333333334</v>
      </c>
      <c r="I592" s="13">
        <v>0.009333333333333334</v>
      </c>
      <c r="J592" s="13">
        <v>0.009333333333333334</v>
      </c>
      <c r="K592" s="13">
        <v>0.009333333333333334</v>
      </c>
      <c r="L592" s="13">
        <v>0.009333333333333334</v>
      </c>
      <c r="M592" s="13">
        <v>0.009333333333333334</v>
      </c>
      <c r="N592" s="13">
        <v>0.009333333333333334</v>
      </c>
      <c r="O592" s="13">
        <v>0.009333333333333334</v>
      </c>
      <c r="P592" s="13">
        <v>0.009333333333333334</v>
      </c>
      <c r="Q592" s="13">
        <v>0.009333333333333334</v>
      </c>
      <c r="R592" s="13">
        <v>0.009333333333333334</v>
      </c>
      <c r="S592" s="13">
        <v>0.009333333333333334</v>
      </c>
      <c r="T592" s="5">
        <f>SUM(H592:N592)</f>
        <v>0.06533333333333334</v>
      </c>
      <c r="V592" s="36"/>
      <c r="W592" s="36"/>
      <c r="X592" s="36"/>
      <c r="Y592" s="36"/>
      <c r="Z592" s="36"/>
      <c r="AA592" s="36"/>
      <c r="AB592" s="37"/>
      <c r="AC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</row>
    <row r="593" spans="1:47" ht="12.75" hidden="1">
      <c r="A593" s="33" t="s">
        <v>1468</v>
      </c>
      <c r="B593" s="156" t="s">
        <v>507</v>
      </c>
      <c r="C593" s="157" t="s">
        <v>508</v>
      </c>
      <c r="D593" s="26">
        <v>0.144</v>
      </c>
      <c r="E593" s="158">
        <v>38261</v>
      </c>
      <c r="F593" s="159">
        <v>38322</v>
      </c>
      <c r="G593" s="10"/>
      <c r="H593" s="91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0.048</v>
      </c>
      <c r="O593" s="13">
        <v>0.048</v>
      </c>
      <c r="P593" s="13">
        <v>0.048</v>
      </c>
      <c r="Q593" s="13">
        <v>0</v>
      </c>
      <c r="R593" s="13">
        <v>0</v>
      </c>
      <c r="S593" s="13">
        <v>0</v>
      </c>
      <c r="T593" s="5">
        <f>SUM(H593:N593)</f>
        <v>0.048</v>
      </c>
      <c r="V593" s="36"/>
      <c r="W593" s="36"/>
      <c r="X593" s="36"/>
      <c r="Y593" s="36"/>
      <c r="Z593" s="36"/>
      <c r="AA593" s="36"/>
      <c r="AB593" s="37"/>
      <c r="AC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</row>
    <row r="594" spans="2:47" ht="12.75">
      <c r="B594" s="252" t="s">
        <v>1460</v>
      </c>
      <c r="C594" s="103" t="s">
        <v>1368</v>
      </c>
      <c r="D594" s="104">
        <f>SUM(D570:D593)</f>
        <v>0.9960000000000002</v>
      </c>
      <c r="E594" s="158">
        <v>38078</v>
      </c>
      <c r="F594" s="159">
        <v>38412</v>
      </c>
      <c r="G594" s="10">
        <f>SUM(G570:G593)</f>
        <v>0.413</v>
      </c>
      <c r="H594" s="13">
        <f>SUM(H570:H593)</f>
        <v>0.1925</v>
      </c>
      <c r="I594" s="13">
        <f>SUM(I570:I593)</f>
        <v>0.0365</v>
      </c>
      <c r="J594" s="13">
        <f aca="true" t="shared" si="106" ref="J594:S594">SUM(J570:J593)</f>
        <v>0.0365</v>
      </c>
      <c r="K594" s="13">
        <f t="shared" si="106"/>
        <v>0.0215</v>
      </c>
      <c r="L594" s="13">
        <f t="shared" si="106"/>
        <v>0.0462</v>
      </c>
      <c r="M594" s="13">
        <f t="shared" si="106"/>
        <v>0.10624285714285714</v>
      </c>
      <c r="N594" s="13">
        <f t="shared" si="106"/>
        <v>0.18424285714285715</v>
      </c>
      <c r="O594" s="13">
        <f t="shared" si="106"/>
        <v>0.14072285714285715</v>
      </c>
      <c r="P594" s="13">
        <f t="shared" si="106"/>
        <v>0.13564285714285715</v>
      </c>
      <c r="Q594" s="13">
        <f t="shared" si="106"/>
        <v>0.052642857142857144</v>
      </c>
      <c r="R594" s="13">
        <f t="shared" si="106"/>
        <v>0.052642857142857144</v>
      </c>
      <c r="S594" s="13">
        <f t="shared" si="106"/>
        <v>0.05164285714285714</v>
      </c>
      <c r="T594" s="5">
        <f>SUM(H594:N594)</f>
        <v>0.6236857142857144</v>
      </c>
      <c r="V594" s="225">
        <f>SUM(V570:V593)</f>
        <v>0</v>
      </c>
      <c r="W594" s="225">
        <f aca="true" t="shared" si="107" ref="W594:AC594">SUM(W570:W593)</f>
        <v>0</v>
      </c>
      <c r="X594" s="225">
        <f t="shared" si="107"/>
        <v>0</v>
      </c>
      <c r="Y594" s="225">
        <f t="shared" si="107"/>
        <v>0</v>
      </c>
      <c r="Z594" s="225">
        <f t="shared" si="107"/>
        <v>0</v>
      </c>
      <c r="AA594" s="225">
        <f t="shared" si="107"/>
        <v>0</v>
      </c>
      <c r="AB594" s="225">
        <f t="shared" si="107"/>
        <v>0</v>
      </c>
      <c r="AC594" s="225">
        <f t="shared" si="107"/>
        <v>0</v>
      </c>
      <c r="AE594" s="225">
        <f aca="true" t="shared" si="108" ref="AE594:AU594">SUM(AE570:AE593)</f>
        <v>0</v>
      </c>
      <c r="AF594" s="225">
        <f t="shared" si="108"/>
        <v>0</v>
      </c>
      <c r="AG594" s="225">
        <f t="shared" si="108"/>
        <v>0</v>
      </c>
      <c r="AH594" s="225">
        <f t="shared" si="108"/>
        <v>0</v>
      </c>
      <c r="AI594" s="225">
        <f t="shared" si="108"/>
        <v>0</v>
      </c>
      <c r="AJ594" s="225">
        <f t="shared" si="108"/>
        <v>0</v>
      </c>
      <c r="AK594" s="225">
        <f t="shared" si="108"/>
        <v>0</v>
      </c>
      <c r="AL594" s="225">
        <f t="shared" si="108"/>
        <v>0</v>
      </c>
      <c r="AM594" s="225">
        <f t="shared" si="108"/>
        <v>0</v>
      </c>
      <c r="AN594" s="225">
        <f t="shared" si="108"/>
        <v>0</v>
      </c>
      <c r="AO594" s="225">
        <f t="shared" si="108"/>
        <v>0</v>
      </c>
      <c r="AP594" s="225">
        <f t="shared" si="108"/>
        <v>0</v>
      </c>
      <c r="AQ594" s="225">
        <f t="shared" si="108"/>
        <v>0</v>
      </c>
      <c r="AR594" s="225">
        <f t="shared" si="108"/>
        <v>0</v>
      </c>
      <c r="AS594" s="225">
        <f t="shared" si="108"/>
        <v>0</v>
      </c>
      <c r="AT594" s="225">
        <f t="shared" si="108"/>
        <v>0</v>
      </c>
      <c r="AU594" s="225">
        <f t="shared" si="108"/>
        <v>0</v>
      </c>
    </row>
    <row r="595" spans="3:47" ht="6" customHeight="1">
      <c r="C595" s="5"/>
      <c r="D595" s="10"/>
      <c r="E595" s="180"/>
      <c r="F595" s="181"/>
      <c r="G595" s="10"/>
      <c r="H595" s="91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95"/>
      <c r="T595" s="94"/>
      <c r="V595" s="36"/>
      <c r="W595" s="36"/>
      <c r="X595" s="36"/>
      <c r="Y595" s="36"/>
      <c r="Z595" s="36"/>
      <c r="AA595" s="36"/>
      <c r="AB595" s="37"/>
      <c r="AC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</row>
    <row r="596" spans="1:47" ht="12" customHeight="1">
      <c r="A596" s="252" t="s">
        <v>1460</v>
      </c>
      <c r="B596" s="33" t="s">
        <v>423</v>
      </c>
      <c r="C596" s="5" t="s">
        <v>424</v>
      </c>
      <c r="D596" s="10">
        <v>0.075</v>
      </c>
      <c r="E596" s="180"/>
      <c r="F596" s="181"/>
      <c r="G596" s="10">
        <v>0</v>
      </c>
      <c r="H596" s="91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0.010714285714285714</v>
      </c>
      <c r="N596" s="13">
        <v>0.010714285714285714</v>
      </c>
      <c r="O596" s="13">
        <v>0.010714285714285714</v>
      </c>
      <c r="P596" s="13">
        <v>0.010714285714285714</v>
      </c>
      <c r="Q596" s="13">
        <v>0.010714285714285714</v>
      </c>
      <c r="R596" s="13">
        <v>0.010714285714285714</v>
      </c>
      <c r="S596" s="13">
        <v>0.010714285714285714</v>
      </c>
      <c r="T596" s="5">
        <f>SUM(H596:N596)</f>
        <v>0.02142857142857143</v>
      </c>
      <c r="V596" s="36"/>
      <c r="W596" s="36"/>
      <c r="X596" s="36"/>
      <c r="Y596" s="36"/>
      <c r="Z596" s="36"/>
      <c r="AA596" s="36"/>
      <c r="AB596" s="37"/>
      <c r="AC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</row>
    <row r="597" spans="1:47" ht="12.75">
      <c r="A597" s="252" t="s">
        <v>1460</v>
      </c>
      <c r="B597" s="33" t="s">
        <v>1627</v>
      </c>
      <c r="C597" s="5" t="s">
        <v>1394</v>
      </c>
      <c r="D597" s="5">
        <v>14.514</v>
      </c>
      <c r="E597" s="24">
        <v>38018</v>
      </c>
      <c r="F597" s="181">
        <v>38749</v>
      </c>
      <c r="G597" s="10">
        <v>5.697</v>
      </c>
      <c r="H597" s="91">
        <v>3.92</v>
      </c>
      <c r="I597" s="13">
        <v>0</v>
      </c>
      <c r="J597" s="13">
        <v>0</v>
      </c>
      <c r="K597" s="13">
        <v>0</v>
      </c>
      <c r="L597" s="13">
        <v>0</v>
      </c>
      <c r="M597" s="13">
        <v>1.5134285714285713</v>
      </c>
      <c r="N597" s="13">
        <v>1.5134285714285713</v>
      </c>
      <c r="O597" s="13">
        <v>1.929</v>
      </c>
      <c r="P597" s="13">
        <v>1.409</v>
      </c>
      <c r="Q597" s="13">
        <v>1.409</v>
      </c>
      <c r="R597" s="13">
        <v>1.409</v>
      </c>
      <c r="S597" s="13">
        <v>1.409</v>
      </c>
      <c r="T597" s="5">
        <f>SUM(H597:N597)</f>
        <v>6.946857142857143</v>
      </c>
      <c r="V597" s="36">
        <f>0.209-0.209</f>
        <v>0</v>
      </c>
      <c r="W597" s="36">
        <v>7.257</v>
      </c>
      <c r="X597" s="36"/>
      <c r="Y597" s="36"/>
      <c r="Z597" s="36"/>
      <c r="AA597" s="36">
        <f>SUM(AE597:AT597)</f>
        <v>7.257</v>
      </c>
      <c r="AB597" s="37"/>
      <c r="AC597" s="37">
        <f>SUM(V597:AB597)</f>
        <v>14.514</v>
      </c>
      <c r="AE597" s="37">
        <f>7.048+0.209</f>
        <v>7.257</v>
      </c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>
        <f>SUM(AE597:AT597)</f>
        <v>7.257</v>
      </c>
    </row>
    <row r="598" spans="3:47" ht="6" customHeight="1" hidden="1">
      <c r="C598" s="5"/>
      <c r="D598" s="5"/>
      <c r="E598" s="24"/>
      <c r="F598" s="181"/>
      <c r="G598" s="10"/>
      <c r="H598" s="91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5"/>
      <c r="V598" s="36"/>
      <c r="W598" s="36"/>
      <c r="X598" s="36"/>
      <c r="Y598" s="36"/>
      <c r="Z598" s="36"/>
      <c r="AA598" s="36"/>
      <c r="AB598" s="37"/>
      <c r="AC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</row>
    <row r="599" spans="1:47" ht="12.75" customHeight="1" hidden="1">
      <c r="A599" s="120"/>
      <c r="B599" s="156" t="s">
        <v>278</v>
      </c>
      <c r="C599" s="157" t="s">
        <v>279</v>
      </c>
      <c r="D599" s="5">
        <v>0.05</v>
      </c>
      <c r="E599" s="158">
        <v>38078</v>
      </c>
      <c r="F599" s="159">
        <v>38412</v>
      </c>
      <c r="G599" s="10"/>
      <c r="H599" s="91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0.0071428571428571435</v>
      </c>
      <c r="N599" s="13">
        <v>0.0071428571428571435</v>
      </c>
      <c r="O599" s="13">
        <v>0.0071428571428571435</v>
      </c>
      <c r="P599" s="13">
        <v>0.0071428571428571435</v>
      </c>
      <c r="Q599" s="13">
        <v>0.0071428571428571435</v>
      </c>
      <c r="R599" s="13">
        <v>0.0071428571428571435</v>
      </c>
      <c r="S599" s="13">
        <v>0.0071428571428571435</v>
      </c>
      <c r="T599" s="5">
        <f aca="true" t="shared" si="109" ref="T599:T625">SUM(H599:N599)</f>
        <v>0.014285714285714287</v>
      </c>
      <c r="V599" s="36"/>
      <c r="W599" s="36"/>
      <c r="X599" s="36"/>
      <c r="Y599" s="36"/>
      <c r="Z599" s="36"/>
      <c r="AA599" s="36"/>
      <c r="AB599" s="37"/>
      <c r="AC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</row>
    <row r="600" spans="1:47" ht="12.75" hidden="1">
      <c r="A600" s="120"/>
      <c r="B600" s="85" t="s">
        <v>1629</v>
      </c>
      <c r="C600" s="119" t="s">
        <v>1630</v>
      </c>
      <c r="D600" s="5">
        <v>0.02</v>
      </c>
      <c r="E600" s="158">
        <v>38078</v>
      </c>
      <c r="F600" s="159">
        <v>38412</v>
      </c>
      <c r="G600" s="10">
        <v>0.001</v>
      </c>
      <c r="H600" s="91">
        <v>0.001</v>
      </c>
      <c r="I600" s="13">
        <v>0</v>
      </c>
      <c r="J600" s="13">
        <v>0</v>
      </c>
      <c r="K600" s="13">
        <v>0</v>
      </c>
      <c r="L600" s="13">
        <v>0</v>
      </c>
      <c r="M600" s="13">
        <v>0.0027142857142857142</v>
      </c>
      <c r="N600" s="13">
        <v>0.0027142857142857142</v>
      </c>
      <c r="O600" s="13">
        <v>0.0027142857142857142</v>
      </c>
      <c r="P600" s="13">
        <v>0.0027142857142857142</v>
      </c>
      <c r="Q600" s="13">
        <v>0.0027142857142857142</v>
      </c>
      <c r="R600" s="13">
        <v>0.0027142857142857142</v>
      </c>
      <c r="S600" s="13">
        <v>0.0027142857142857142</v>
      </c>
      <c r="T600" s="5">
        <f t="shared" si="109"/>
        <v>0.0064285714285714285</v>
      </c>
      <c r="V600" s="36"/>
      <c r="W600" s="36"/>
      <c r="X600" s="36"/>
      <c r="Y600" s="36"/>
      <c r="Z600" s="36"/>
      <c r="AA600" s="36"/>
      <c r="AB600" s="37"/>
      <c r="AC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</row>
    <row r="601" spans="1:47" ht="12.75" hidden="1">
      <c r="A601" s="120"/>
      <c r="B601" s="156" t="s">
        <v>242</v>
      </c>
      <c r="C601" s="157" t="s">
        <v>243</v>
      </c>
      <c r="D601" s="5">
        <v>0.01</v>
      </c>
      <c r="E601" s="158">
        <v>38078</v>
      </c>
      <c r="F601" s="159">
        <v>38412</v>
      </c>
      <c r="G601" s="10"/>
      <c r="H601" s="91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0.0014285714285714286</v>
      </c>
      <c r="N601" s="13">
        <v>0.0014285714285714286</v>
      </c>
      <c r="O601" s="13">
        <v>0.0014285714285714286</v>
      </c>
      <c r="P601" s="13">
        <v>0.0014285714285714286</v>
      </c>
      <c r="Q601" s="13">
        <v>0.0014285714285714286</v>
      </c>
      <c r="R601" s="13">
        <v>0.0014285714285714286</v>
      </c>
      <c r="S601" s="13">
        <v>0.0014285714285714286</v>
      </c>
      <c r="T601" s="5">
        <f t="shared" si="109"/>
        <v>0.002857142857142857</v>
      </c>
      <c r="V601" s="36"/>
      <c r="W601" s="36"/>
      <c r="X601" s="36"/>
      <c r="Y601" s="36"/>
      <c r="Z601" s="36"/>
      <c r="AA601" s="36"/>
      <c r="AB601" s="37"/>
      <c r="AC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</row>
    <row r="602" spans="1:47" ht="12.75" hidden="1">
      <c r="A602" s="121"/>
      <c r="B602" s="156" t="s">
        <v>244</v>
      </c>
      <c r="C602" s="157" t="s">
        <v>245</v>
      </c>
      <c r="D602" s="5">
        <v>0</v>
      </c>
      <c r="E602" s="158" t="s">
        <v>280</v>
      </c>
      <c r="F602" s="159" t="s">
        <v>280</v>
      </c>
      <c r="G602" s="10"/>
      <c r="H602" s="91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5">
        <f t="shared" si="109"/>
        <v>0</v>
      </c>
      <c r="V602" s="36"/>
      <c r="W602" s="36"/>
      <c r="X602" s="36"/>
      <c r="Y602" s="36"/>
      <c r="Z602" s="36"/>
      <c r="AA602" s="36"/>
      <c r="AB602" s="37"/>
      <c r="AC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</row>
    <row r="603" spans="1:47" ht="12.75" hidden="1">
      <c r="A603" s="121"/>
      <c r="B603" s="156" t="s">
        <v>246</v>
      </c>
      <c r="C603" s="157" t="s">
        <v>247</v>
      </c>
      <c r="D603" s="5">
        <v>0.006</v>
      </c>
      <c r="E603" s="158">
        <v>37316</v>
      </c>
      <c r="F603" s="159">
        <v>37803</v>
      </c>
      <c r="G603" s="10">
        <v>0.002</v>
      </c>
      <c r="H603" s="91">
        <v>0.001</v>
      </c>
      <c r="I603" s="13">
        <v>0.001</v>
      </c>
      <c r="J603" s="13">
        <v>0.001</v>
      </c>
      <c r="K603" s="13">
        <v>0.001</v>
      </c>
      <c r="L603" s="13">
        <v>0.002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5">
        <f t="shared" si="109"/>
        <v>0.006</v>
      </c>
      <c r="V603" s="36"/>
      <c r="W603" s="36"/>
      <c r="X603" s="36"/>
      <c r="Y603" s="36"/>
      <c r="Z603" s="36"/>
      <c r="AA603" s="36"/>
      <c r="AB603" s="37"/>
      <c r="AC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</row>
    <row r="604" spans="1:47" ht="12.75" hidden="1">
      <c r="A604" s="121"/>
      <c r="B604" s="156" t="s">
        <v>248</v>
      </c>
      <c r="C604" s="157" t="s">
        <v>249</v>
      </c>
      <c r="D604" s="5">
        <v>0.02</v>
      </c>
      <c r="E604" s="158">
        <v>38412</v>
      </c>
      <c r="F604" s="159">
        <v>38473</v>
      </c>
      <c r="G604" s="10">
        <v>0.002</v>
      </c>
      <c r="H604" s="91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0.002857142857142857</v>
      </c>
      <c r="N604" s="13">
        <v>0.002857142857142857</v>
      </c>
      <c r="O604" s="13">
        <v>0.002857142857142857</v>
      </c>
      <c r="P604" s="13">
        <v>0.002857142857142857</v>
      </c>
      <c r="Q604" s="13">
        <v>0.002857142857142857</v>
      </c>
      <c r="R604" s="13">
        <v>0.002857142857142857</v>
      </c>
      <c r="S604" s="13">
        <v>0.002857142857142857</v>
      </c>
      <c r="T604" s="5">
        <f t="shared" si="109"/>
        <v>0.005714285714285714</v>
      </c>
      <c r="V604" s="36"/>
      <c r="W604" s="36"/>
      <c r="X604" s="36"/>
      <c r="Y604" s="36"/>
      <c r="Z604" s="36"/>
      <c r="AA604" s="36"/>
      <c r="AB604" s="37"/>
      <c r="AC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</row>
    <row r="605" spans="1:47" ht="12.75" hidden="1">
      <c r="A605" s="121"/>
      <c r="B605" s="156" t="s">
        <v>250</v>
      </c>
      <c r="C605" s="157" t="s">
        <v>251</v>
      </c>
      <c r="D605" s="5">
        <v>0.05</v>
      </c>
      <c r="E605" s="158">
        <v>38261</v>
      </c>
      <c r="F605" s="159">
        <v>38353</v>
      </c>
      <c r="G605" s="10"/>
      <c r="H605" s="91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0.015714285714285715</v>
      </c>
      <c r="N605" s="13">
        <v>0.015714285714285715</v>
      </c>
      <c r="O605" s="13">
        <v>0.015714285714285715</v>
      </c>
      <c r="P605" s="13">
        <v>0.015714285714285715</v>
      </c>
      <c r="Q605" s="13">
        <v>0.015714285714285715</v>
      </c>
      <c r="R605" s="13">
        <v>0.015714285714285715</v>
      </c>
      <c r="S605" s="13">
        <v>0.015714285714285715</v>
      </c>
      <c r="T605" s="5">
        <f t="shared" si="109"/>
        <v>0.03142857142857143</v>
      </c>
      <c r="V605" s="36"/>
      <c r="W605" s="36"/>
      <c r="X605" s="36"/>
      <c r="Y605" s="36"/>
      <c r="Z605" s="36"/>
      <c r="AA605" s="36"/>
      <c r="AB605" s="37"/>
      <c r="AC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</row>
    <row r="606" spans="1:47" ht="12.75" hidden="1">
      <c r="A606" s="121"/>
      <c r="B606" s="156" t="s">
        <v>252</v>
      </c>
      <c r="C606" s="157" t="s">
        <v>257</v>
      </c>
      <c r="D606" s="5">
        <v>0.001</v>
      </c>
      <c r="E606" s="158">
        <v>37226</v>
      </c>
      <c r="F606" s="159">
        <v>38047</v>
      </c>
      <c r="G606" s="10">
        <v>0.001</v>
      </c>
      <c r="H606" s="91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5">
        <f t="shared" si="109"/>
        <v>0</v>
      </c>
      <c r="V606" s="36"/>
      <c r="W606" s="36"/>
      <c r="X606" s="36"/>
      <c r="Y606" s="36"/>
      <c r="Z606" s="36"/>
      <c r="AA606" s="36"/>
      <c r="AB606" s="37"/>
      <c r="AC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</row>
    <row r="607" spans="1:47" ht="12.75" hidden="1">
      <c r="A607" s="121"/>
      <c r="B607" s="156" t="s">
        <v>258</v>
      </c>
      <c r="C607" s="157" t="s">
        <v>259</v>
      </c>
      <c r="D607" s="5">
        <v>0</v>
      </c>
      <c r="E607" s="158">
        <v>37591</v>
      </c>
      <c r="F607" s="159">
        <v>37681</v>
      </c>
      <c r="G607" s="10"/>
      <c r="H607" s="91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5">
        <f t="shared" si="109"/>
        <v>0</v>
      </c>
      <c r="V607" s="36"/>
      <c r="W607" s="36"/>
      <c r="X607" s="36"/>
      <c r="Y607" s="36"/>
      <c r="Z607" s="36"/>
      <c r="AA607" s="36"/>
      <c r="AB607" s="37"/>
      <c r="AC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</row>
    <row r="608" spans="1:47" ht="12.75" hidden="1">
      <c r="A608" s="121"/>
      <c r="B608" s="156" t="s">
        <v>260</v>
      </c>
      <c r="C608" s="157" t="s">
        <v>261</v>
      </c>
      <c r="D608" s="5">
        <v>0.001</v>
      </c>
      <c r="E608" s="158">
        <v>37987</v>
      </c>
      <c r="F608" s="159">
        <v>38047</v>
      </c>
      <c r="G608" s="10">
        <v>0.001</v>
      </c>
      <c r="H608" s="91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5">
        <f t="shared" si="109"/>
        <v>0</v>
      </c>
      <c r="V608" s="36"/>
      <c r="W608" s="36"/>
      <c r="X608" s="36"/>
      <c r="Y608" s="36"/>
      <c r="Z608" s="36"/>
      <c r="AA608" s="36"/>
      <c r="AB608" s="37"/>
      <c r="AC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</row>
    <row r="609" spans="1:47" ht="12.75" hidden="1">
      <c r="A609" s="121"/>
      <c r="B609" s="156" t="s">
        <v>262</v>
      </c>
      <c r="C609" s="157" t="s">
        <v>263</v>
      </c>
      <c r="D609" s="5">
        <v>0.001</v>
      </c>
      <c r="E609" s="158">
        <v>37288</v>
      </c>
      <c r="F609" s="159">
        <v>37347</v>
      </c>
      <c r="G609" s="10">
        <v>0.001</v>
      </c>
      <c r="H609" s="91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5">
        <f t="shared" si="109"/>
        <v>0</v>
      </c>
      <c r="V609" s="36"/>
      <c r="W609" s="36"/>
      <c r="X609" s="36"/>
      <c r="Y609" s="36"/>
      <c r="Z609" s="36"/>
      <c r="AA609" s="36"/>
      <c r="AB609" s="37"/>
      <c r="AC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</row>
    <row r="610" spans="1:47" ht="12.75" hidden="1">
      <c r="A610" s="121"/>
      <c r="B610" s="156" t="s">
        <v>264</v>
      </c>
      <c r="C610" s="157" t="s">
        <v>265</v>
      </c>
      <c r="D610" s="5">
        <v>0.04</v>
      </c>
      <c r="E610" s="158">
        <v>38322</v>
      </c>
      <c r="F610" s="159">
        <v>38412</v>
      </c>
      <c r="G610" s="10">
        <v>0.003</v>
      </c>
      <c r="H610" s="91">
        <v>0</v>
      </c>
      <c r="I610" s="13">
        <v>0</v>
      </c>
      <c r="J610" s="13">
        <v>0</v>
      </c>
      <c r="K610" s="13">
        <v>0</v>
      </c>
      <c r="L610" s="13">
        <v>0</v>
      </c>
      <c r="M610" s="13"/>
      <c r="N610" s="13"/>
      <c r="O610" s="13"/>
      <c r="P610" s="13"/>
      <c r="Q610" s="13"/>
      <c r="R610" s="13"/>
      <c r="S610" s="13">
        <v>0.04</v>
      </c>
      <c r="T610" s="5">
        <f t="shared" si="109"/>
        <v>0</v>
      </c>
      <c r="V610" s="36"/>
      <c r="W610" s="36"/>
      <c r="X610" s="36"/>
      <c r="Y610" s="36"/>
      <c r="Z610" s="36"/>
      <c r="AA610" s="36"/>
      <c r="AB610" s="37"/>
      <c r="AC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</row>
    <row r="611" spans="1:47" ht="12.75" hidden="1">
      <c r="A611" s="121"/>
      <c r="B611" s="156" t="s">
        <v>266</v>
      </c>
      <c r="C611" s="157" t="s">
        <v>267</v>
      </c>
      <c r="D611" s="5">
        <v>0.01</v>
      </c>
      <c r="E611" s="158">
        <v>38443</v>
      </c>
      <c r="F611" s="159">
        <v>38534</v>
      </c>
      <c r="G611" s="10">
        <v>0.003</v>
      </c>
      <c r="H611" s="91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0.0014285714285714286</v>
      </c>
      <c r="N611" s="13">
        <v>0.0014285714285714286</v>
      </c>
      <c r="O611" s="13">
        <v>0.0014285714285714286</v>
      </c>
      <c r="P611" s="13">
        <v>0.0014285714285714286</v>
      </c>
      <c r="Q611" s="13">
        <v>0.0014285714285714286</v>
      </c>
      <c r="R611" s="13">
        <v>0.0014285714285714286</v>
      </c>
      <c r="S611" s="13">
        <v>0.0014285714285714286</v>
      </c>
      <c r="T611" s="5">
        <f t="shared" si="109"/>
        <v>0.002857142857142857</v>
      </c>
      <c r="V611" s="36"/>
      <c r="W611" s="36"/>
      <c r="X611" s="36"/>
      <c r="Y611" s="36"/>
      <c r="Z611" s="36"/>
      <c r="AA611" s="36"/>
      <c r="AB611" s="37"/>
      <c r="AC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</row>
    <row r="612" spans="1:47" ht="12.75" hidden="1">
      <c r="A612" s="121"/>
      <c r="B612" s="156" t="s">
        <v>268</v>
      </c>
      <c r="C612" s="157" t="s">
        <v>269</v>
      </c>
      <c r="D612" s="5">
        <v>0.03</v>
      </c>
      <c r="E612" s="158">
        <v>37956</v>
      </c>
      <c r="F612" s="159">
        <v>38047</v>
      </c>
      <c r="G612" s="10">
        <v>0.003</v>
      </c>
      <c r="H612" s="91">
        <v>0.0025</v>
      </c>
      <c r="I612" s="13">
        <v>0.0025</v>
      </c>
      <c r="J612" s="13">
        <v>0.0025</v>
      </c>
      <c r="K612" s="13">
        <v>0.0025</v>
      </c>
      <c r="L612" s="13">
        <v>0.0025</v>
      </c>
      <c r="M612" s="13">
        <v>0.0025</v>
      </c>
      <c r="N612" s="13">
        <v>0.0025</v>
      </c>
      <c r="O612" s="13">
        <v>0.0025</v>
      </c>
      <c r="P612" s="13">
        <v>0.0025</v>
      </c>
      <c r="Q612" s="13">
        <v>0.0025</v>
      </c>
      <c r="R612" s="13">
        <v>0.0025</v>
      </c>
      <c r="S612" s="13">
        <v>0.0025</v>
      </c>
      <c r="T612" s="5">
        <f t="shared" si="109"/>
        <v>0.0175</v>
      </c>
      <c r="V612" s="36"/>
      <c r="W612" s="36"/>
      <c r="X612" s="36"/>
      <c r="Y612" s="36"/>
      <c r="Z612" s="36"/>
      <c r="AA612" s="36"/>
      <c r="AB612" s="37"/>
      <c r="AC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</row>
    <row r="613" spans="1:47" ht="12.75" hidden="1">
      <c r="A613" s="121"/>
      <c r="B613" s="156" t="s">
        <v>270</v>
      </c>
      <c r="C613" s="157" t="s">
        <v>271</v>
      </c>
      <c r="D613" s="5">
        <v>0</v>
      </c>
      <c r="E613" s="158">
        <v>38473</v>
      </c>
      <c r="F613" s="159">
        <v>38565</v>
      </c>
      <c r="G613" s="10"/>
      <c r="H613" s="91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5">
        <f t="shared" si="109"/>
        <v>0</v>
      </c>
      <c r="V613" s="36"/>
      <c r="W613" s="36"/>
      <c r="X613" s="36"/>
      <c r="Y613" s="36"/>
      <c r="Z613" s="36"/>
      <c r="AA613" s="36"/>
      <c r="AB613" s="37"/>
      <c r="AC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</row>
    <row r="614" spans="1:47" ht="12.75" hidden="1">
      <c r="A614" s="121"/>
      <c r="B614" s="156" t="s">
        <v>272</v>
      </c>
      <c r="C614" s="157" t="s">
        <v>273</v>
      </c>
      <c r="D614" s="5">
        <v>0.003</v>
      </c>
      <c r="E614" s="158">
        <v>37316</v>
      </c>
      <c r="F614" s="159">
        <v>37681</v>
      </c>
      <c r="G614" s="10">
        <v>-0.004</v>
      </c>
      <c r="H614" s="91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0.001</v>
      </c>
      <c r="N614" s="13">
        <v>0.001</v>
      </c>
      <c r="O614" s="13">
        <v>0.001</v>
      </c>
      <c r="P614" s="13">
        <v>0.001</v>
      </c>
      <c r="Q614" s="13">
        <v>0.001</v>
      </c>
      <c r="R614" s="13">
        <v>0.001</v>
      </c>
      <c r="S614" s="13">
        <v>0.001</v>
      </c>
      <c r="T614" s="5">
        <f t="shared" si="109"/>
        <v>0.002</v>
      </c>
      <c r="V614" s="36"/>
      <c r="W614" s="36"/>
      <c r="X614" s="36"/>
      <c r="Y614" s="36"/>
      <c r="Z614" s="36"/>
      <c r="AA614" s="36"/>
      <c r="AB614" s="37"/>
      <c r="AC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</row>
    <row r="615" spans="1:47" ht="12.75" hidden="1">
      <c r="A615" s="121"/>
      <c r="B615" s="156" t="s">
        <v>274</v>
      </c>
      <c r="C615" s="157" t="s">
        <v>275</v>
      </c>
      <c r="D615" s="5">
        <v>0.002</v>
      </c>
      <c r="E615" s="158">
        <v>38657</v>
      </c>
      <c r="F615" s="159">
        <v>38777</v>
      </c>
      <c r="G615" s="10"/>
      <c r="H615" s="91">
        <v>0.00016666666666666666</v>
      </c>
      <c r="I615" s="13">
        <v>0.00016666666666666666</v>
      </c>
      <c r="J615" s="13">
        <v>0.00016666666666666666</v>
      </c>
      <c r="K615" s="13">
        <v>0.00016666666666666666</v>
      </c>
      <c r="L615" s="13">
        <v>0.00016666666666666666</v>
      </c>
      <c r="M615" s="13">
        <v>0.00016666666666666666</v>
      </c>
      <c r="N615" s="13">
        <v>0.00016666666666666666</v>
      </c>
      <c r="O615" s="13">
        <v>0.00016666666666666666</v>
      </c>
      <c r="P615" s="13">
        <v>0.00016666666666666666</v>
      </c>
      <c r="Q615" s="13">
        <v>0.00016666666666666666</v>
      </c>
      <c r="R615" s="13">
        <v>0.00016666666666666666</v>
      </c>
      <c r="S615" s="13">
        <v>0.00016666666666666666</v>
      </c>
      <c r="T615" s="5">
        <f t="shared" si="109"/>
        <v>0.0011666666666666668</v>
      </c>
      <c r="V615" s="36"/>
      <c r="W615" s="36"/>
      <c r="X615" s="36"/>
      <c r="Y615" s="36"/>
      <c r="Z615" s="36"/>
      <c r="AA615" s="36"/>
      <c r="AB615" s="37"/>
      <c r="AC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</row>
    <row r="616" spans="1:47" ht="12.75" hidden="1">
      <c r="A616" s="121"/>
      <c r="B616" s="156" t="s">
        <v>276</v>
      </c>
      <c r="C616" s="157" t="s">
        <v>277</v>
      </c>
      <c r="D616" s="5">
        <v>0.088</v>
      </c>
      <c r="E616" s="158">
        <v>38231</v>
      </c>
      <c r="F616" s="159">
        <v>38292</v>
      </c>
      <c r="G616" s="10">
        <v>0.008</v>
      </c>
      <c r="H616" s="91">
        <v>0</v>
      </c>
      <c r="I616" s="13">
        <v>0</v>
      </c>
      <c r="J616" s="13">
        <v>0</v>
      </c>
      <c r="K616" s="13">
        <v>0</v>
      </c>
      <c r="L616" s="13">
        <v>0</v>
      </c>
      <c r="M616" s="13"/>
      <c r="N616" s="13">
        <v>0.022</v>
      </c>
      <c r="O616" s="13">
        <v>0.022</v>
      </c>
      <c r="P616" s="13">
        <v>0.044</v>
      </c>
      <c r="Q616" s="13">
        <v>0</v>
      </c>
      <c r="R616" s="13">
        <v>0</v>
      </c>
      <c r="S616" s="13">
        <v>0</v>
      </c>
      <c r="T616" s="5">
        <f t="shared" si="109"/>
        <v>0.022</v>
      </c>
      <c r="V616" s="36"/>
      <c r="W616" s="36"/>
      <c r="X616" s="36"/>
      <c r="Y616" s="36"/>
      <c r="Z616" s="36"/>
      <c r="AA616" s="36"/>
      <c r="AB616" s="37"/>
      <c r="AC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</row>
    <row r="617" spans="1:47" ht="12.75" hidden="1">
      <c r="A617" s="121"/>
      <c r="B617" s="33" t="s">
        <v>1631</v>
      </c>
      <c r="C617" s="119" t="s">
        <v>1632</v>
      </c>
      <c r="D617" s="5">
        <v>-0.004</v>
      </c>
      <c r="E617" s="158">
        <v>37622</v>
      </c>
      <c r="F617" s="159">
        <v>37803</v>
      </c>
      <c r="G617" s="10">
        <v>-0.003</v>
      </c>
      <c r="H617" s="91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5">
        <f t="shared" si="109"/>
        <v>0</v>
      </c>
      <c r="V617" s="36"/>
      <c r="W617" s="36"/>
      <c r="X617" s="36"/>
      <c r="Y617" s="36"/>
      <c r="Z617" s="36"/>
      <c r="AA617" s="36"/>
      <c r="AB617" s="37"/>
      <c r="AC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</row>
    <row r="618" spans="1:47" ht="12.75" hidden="1">
      <c r="A618" s="121"/>
      <c r="B618" s="156" t="s">
        <v>225</v>
      </c>
      <c r="C618" s="218" t="s">
        <v>226</v>
      </c>
      <c r="D618" s="5">
        <v>0</v>
      </c>
      <c r="E618" s="158">
        <v>37712</v>
      </c>
      <c r="F618" s="159">
        <v>38047</v>
      </c>
      <c r="G618" s="10"/>
      <c r="H618" s="91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5">
        <f t="shared" si="109"/>
        <v>0</v>
      </c>
      <c r="V618" s="36"/>
      <c r="W618" s="36"/>
      <c r="X618" s="36"/>
      <c r="Y618" s="36"/>
      <c r="Z618" s="36"/>
      <c r="AA618" s="36"/>
      <c r="AB618" s="37"/>
      <c r="AC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</row>
    <row r="619" spans="1:47" ht="12.75" hidden="1">
      <c r="A619" s="121"/>
      <c r="B619" s="156" t="s">
        <v>227</v>
      </c>
      <c r="C619" s="218" t="s">
        <v>228</v>
      </c>
      <c r="D619" s="5">
        <v>0</v>
      </c>
      <c r="E619" s="158">
        <v>37681</v>
      </c>
      <c r="F619" s="159">
        <v>38047</v>
      </c>
      <c r="G619" s="10"/>
      <c r="H619" s="91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5">
        <f t="shared" si="109"/>
        <v>0</v>
      </c>
      <c r="V619" s="36"/>
      <c r="W619" s="36"/>
      <c r="X619" s="36"/>
      <c r="Y619" s="36"/>
      <c r="Z619" s="36"/>
      <c r="AA619" s="36"/>
      <c r="AB619" s="37"/>
      <c r="AC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</row>
    <row r="620" spans="1:47" ht="12.75" hidden="1">
      <c r="A620" s="121"/>
      <c r="B620" s="156" t="s">
        <v>229</v>
      </c>
      <c r="C620" s="218" t="s">
        <v>230</v>
      </c>
      <c r="D620" s="5">
        <v>0.06</v>
      </c>
      <c r="E620" s="158">
        <v>38353</v>
      </c>
      <c r="F620" s="159">
        <v>38412</v>
      </c>
      <c r="G620" s="10">
        <v>0.002</v>
      </c>
      <c r="H620" s="91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0.008571428571428572</v>
      </c>
      <c r="N620" s="13">
        <v>0.008571428571428572</v>
      </c>
      <c r="O620" s="13">
        <v>0.008571428571428572</v>
      </c>
      <c r="P620" s="13">
        <v>0.008571428571428572</v>
      </c>
      <c r="Q620" s="13">
        <v>0.008571428571428572</v>
      </c>
      <c r="R620" s="13">
        <v>0.008571428571428572</v>
      </c>
      <c r="S620" s="13">
        <v>0.008571428571428572</v>
      </c>
      <c r="T620" s="5">
        <f t="shared" si="109"/>
        <v>0.017142857142857144</v>
      </c>
      <c r="V620" s="36"/>
      <c r="W620" s="36"/>
      <c r="X620" s="36"/>
      <c r="Y620" s="36"/>
      <c r="Z620" s="36"/>
      <c r="AA620" s="36"/>
      <c r="AB620" s="37"/>
      <c r="AC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</row>
    <row r="621" spans="1:47" ht="12.75" hidden="1">
      <c r="A621" s="121"/>
      <c r="B621" s="156" t="s">
        <v>231</v>
      </c>
      <c r="C621" s="218" t="s">
        <v>232</v>
      </c>
      <c r="D621" s="5">
        <v>0.01</v>
      </c>
      <c r="E621" s="158">
        <v>38078</v>
      </c>
      <c r="F621" s="159">
        <v>38412</v>
      </c>
      <c r="G621" s="10"/>
      <c r="H621" s="91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0.0014285714285714286</v>
      </c>
      <c r="N621" s="13">
        <v>0.0014285714285714286</v>
      </c>
      <c r="O621" s="13">
        <v>0.0014285714285714286</v>
      </c>
      <c r="P621" s="13">
        <v>0.0014285714285714286</v>
      </c>
      <c r="Q621" s="13">
        <v>0.0014285714285714286</v>
      </c>
      <c r="R621" s="13">
        <v>0.0014285714285714286</v>
      </c>
      <c r="S621" s="13">
        <v>0.0014285714285714286</v>
      </c>
      <c r="T621" s="5">
        <f t="shared" si="109"/>
        <v>0.002857142857142857</v>
      </c>
      <c r="V621" s="36"/>
      <c r="W621" s="36"/>
      <c r="X621" s="36"/>
      <c r="Y621" s="36"/>
      <c r="Z621" s="36"/>
      <c r="AA621" s="36"/>
      <c r="AB621" s="37"/>
      <c r="AC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</row>
    <row r="622" spans="1:47" ht="12.75" hidden="1">
      <c r="A622" s="121"/>
      <c r="B622" s="156" t="s">
        <v>233</v>
      </c>
      <c r="C622" s="218" t="s">
        <v>234</v>
      </c>
      <c r="D622" s="5">
        <v>0.003</v>
      </c>
      <c r="E622" s="158">
        <v>38078</v>
      </c>
      <c r="F622" s="159">
        <v>38412</v>
      </c>
      <c r="G622" s="10">
        <v>0.004</v>
      </c>
      <c r="H622" s="91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0.0071428571428571435</v>
      </c>
      <c r="N622" s="13">
        <v>0.0071428571428571435</v>
      </c>
      <c r="O622" s="13">
        <v>0.0071428571428571435</v>
      </c>
      <c r="P622" s="13">
        <v>0.0071428571428571435</v>
      </c>
      <c r="Q622" s="13">
        <v>0.0071428571428571435</v>
      </c>
      <c r="R622" s="13">
        <v>0.0071428571428571435</v>
      </c>
      <c r="S622" s="13">
        <v>0.0071428571428571435</v>
      </c>
      <c r="T622" s="5">
        <f t="shared" si="109"/>
        <v>0.014285714285714287</v>
      </c>
      <c r="V622" s="36"/>
      <c r="W622" s="36"/>
      <c r="X622" s="36"/>
      <c r="Y622" s="36"/>
      <c r="Z622" s="36"/>
      <c r="AA622" s="36"/>
      <c r="AB622" s="37"/>
      <c r="AC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</row>
    <row r="623" spans="1:47" ht="12.75" hidden="1">
      <c r="A623" s="121"/>
      <c r="B623" s="156" t="s">
        <v>1135</v>
      </c>
      <c r="C623" s="218" t="s">
        <v>235</v>
      </c>
      <c r="D623" s="5">
        <v>0.04</v>
      </c>
      <c r="E623" s="158">
        <v>38078</v>
      </c>
      <c r="F623" s="159">
        <v>38412</v>
      </c>
      <c r="G623" s="10"/>
      <c r="H623" s="91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0.005714285714285714</v>
      </c>
      <c r="N623" s="13">
        <v>0.005714285714285714</v>
      </c>
      <c r="O623" s="13">
        <v>0.005714285714285714</v>
      </c>
      <c r="P623" s="13">
        <v>0.005714285714285714</v>
      </c>
      <c r="Q623" s="13">
        <v>0.005714285714285714</v>
      </c>
      <c r="R623" s="13">
        <v>0.005714285714285714</v>
      </c>
      <c r="S623" s="13">
        <v>0.005714285714285714</v>
      </c>
      <c r="T623" s="5">
        <f t="shared" si="109"/>
        <v>0.011428571428571429</v>
      </c>
      <c r="V623" s="36"/>
      <c r="W623" s="36"/>
      <c r="X623" s="36"/>
      <c r="Y623" s="36"/>
      <c r="Z623" s="36"/>
      <c r="AA623" s="36"/>
      <c r="AB623" s="37"/>
      <c r="AC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</row>
    <row r="624" spans="1:47" ht="12.75" hidden="1">
      <c r="A624" s="121"/>
      <c r="B624" s="156" t="s">
        <v>1136</v>
      </c>
      <c r="C624" s="218" t="s">
        <v>238</v>
      </c>
      <c r="D624" s="5">
        <v>0.004</v>
      </c>
      <c r="E624" s="158">
        <v>38504</v>
      </c>
      <c r="F624" s="159">
        <v>38565</v>
      </c>
      <c r="G624" s="10"/>
      <c r="H624" s="91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0.0005714285714285715</v>
      </c>
      <c r="N624" s="13">
        <v>0.0005714285714285715</v>
      </c>
      <c r="O624" s="13">
        <v>0.0005714285714285715</v>
      </c>
      <c r="P624" s="13">
        <v>0.0005714285714285715</v>
      </c>
      <c r="Q624" s="13">
        <v>0.0005714285714285715</v>
      </c>
      <c r="R624" s="13">
        <v>0.0005714285714285715</v>
      </c>
      <c r="S624" s="13">
        <v>0.0005714285714285715</v>
      </c>
      <c r="T624" s="5">
        <f t="shared" si="109"/>
        <v>0.001142857142857143</v>
      </c>
      <c r="V624" s="36"/>
      <c r="W624" s="36"/>
      <c r="X624" s="36"/>
      <c r="Y624" s="36"/>
      <c r="Z624" s="36"/>
      <c r="AA624" s="36"/>
      <c r="AB624" s="37"/>
      <c r="AC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</row>
    <row r="625" spans="1:47" ht="12.75" hidden="1">
      <c r="A625" s="121"/>
      <c r="B625" s="178"/>
      <c r="C625" s="218" t="s">
        <v>240</v>
      </c>
      <c r="D625" s="5">
        <v>0.005</v>
      </c>
      <c r="E625" s="158">
        <v>38443</v>
      </c>
      <c r="F625" s="159">
        <v>38534</v>
      </c>
      <c r="G625" s="10"/>
      <c r="H625" s="91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0.0007142857142857143</v>
      </c>
      <c r="N625" s="13">
        <v>0.0007142857142857143</v>
      </c>
      <c r="O625" s="13">
        <v>0.0007142857142857143</v>
      </c>
      <c r="P625" s="13">
        <v>0.0007142857142857143</v>
      </c>
      <c r="Q625" s="13">
        <v>0.0007142857142857143</v>
      </c>
      <c r="R625" s="13">
        <v>0.0007142857142857143</v>
      </c>
      <c r="S625" s="13">
        <v>0.0007142857142857143</v>
      </c>
      <c r="T625" s="5">
        <f t="shared" si="109"/>
        <v>0.0014285714285714286</v>
      </c>
      <c r="V625" s="36"/>
      <c r="W625" s="36"/>
      <c r="X625" s="36"/>
      <c r="Y625" s="36"/>
      <c r="Z625" s="36"/>
      <c r="AA625" s="36"/>
      <c r="AB625" s="37"/>
      <c r="AC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</row>
    <row r="626" spans="1:47" ht="12.75" hidden="1">
      <c r="A626" s="121"/>
      <c r="B626" s="178" t="s">
        <v>1138</v>
      </c>
      <c r="C626" s="218" t="s">
        <v>1139</v>
      </c>
      <c r="D626" s="5">
        <v>0.03</v>
      </c>
      <c r="E626" s="158"/>
      <c r="F626" s="159"/>
      <c r="G626" s="10"/>
      <c r="H626" s="91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5"/>
      <c r="V626" s="36"/>
      <c r="W626" s="36"/>
      <c r="X626" s="36"/>
      <c r="Y626" s="36"/>
      <c r="Z626" s="36"/>
      <c r="AA626" s="36"/>
      <c r="AB626" s="37"/>
      <c r="AC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</row>
    <row r="627" spans="1:47" ht="12.75" hidden="1">
      <c r="A627" s="121"/>
      <c r="B627" s="156" t="s">
        <v>1137</v>
      </c>
      <c r="C627" s="218" t="s">
        <v>241</v>
      </c>
      <c r="D627" s="5">
        <v>0.02</v>
      </c>
      <c r="E627" s="158">
        <v>38412</v>
      </c>
      <c r="F627" s="159">
        <v>38443</v>
      </c>
      <c r="G627" s="10"/>
      <c r="H627" s="91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0.002857142857142857</v>
      </c>
      <c r="N627" s="13">
        <v>0.002857142857142857</v>
      </c>
      <c r="O627" s="13">
        <v>0.002857142857142857</v>
      </c>
      <c r="P627" s="13">
        <v>0.002857142857142857</v>
      </c>
      <c r="Q627" s="13">
        <v>0.002857142857142857</v>
      </c>
      <c r="R627" s="13">
        <v>0.002857142857142857</v>
      </c>
      <c r="S627" s="13">
        <v>0.002857142857142857</v>
      </c>
      <c r="T627" s="5">
        <f>SUM(H627:N627)</f>
        <v>0.005714285714285714</v>
      </c>
      <c r="V627" s="36"/>
      <c r="W627" s="36"/>
      <c r="X627" s="36"/>
      <c r="Y627" s="36"/>
      <c r="Z627" s="36"/>
      <c r="AA627" s="36"/>
      <c r="AB627" s="37"/>
      <c r="AC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</row>
    <row r="628" spans="2:47" ht="12.75">
      <c r="B628" s="252" t="s">
        <v>1460</v>
      </c>
      <c r="C628" s="103" t="s">
        <v>1366</v>
      </c>
      <c r="D628" s="104">
        <f>SUM(D599:D627)</f>
        <v>0.5000000000000001</v>
      </c>
      <c r="E628" s="158">
        <v>38078</v>
      </c>
      <c r="F628" s="159">
        <v>38412</v>
      </c>
      <c r="G628" s="104">
        <f>SUM(G599:G627)</f>
        <v>0.023999999999999997</v>
      </c>
      <c r="H628" s="226">
        <f>SUM(H599:H627)</f>
        <v>0.004666666666666667</v>
      </c>
      <c r="I628" s="227">
        <f>SUM(I599:I627)</f>
        <v>0.0036666666666666666</v>
      </c>
      <c r="J628" s="227">
        <f aca="true" t="shared" si="110" ref="J628:S628">SUM(J599:J627)</f>
        <v>0.0036666666666666666</v>
      </c>
      <c r="K628" s="227">
        <f t="shared" si="110"/>
        <v>0.0036666666666666666</v>
      </c>
      <c r="L628" s="227">
        <f t="shared" si="110"/>
        <v>0.004666666666666667</v>
      </c>
      <c r="M628" s="227">
        <f t="shared" si="110"/>
        <v>0.06195238095238097</v>
      </c>
      <c r="N628" s="227">
        <f t="shared" si="110"/>
        <v>0.08395238095238097</v>
      </c>
      <c r="O628" s="227">
        <f t="shared" si="110"/>
        <v>0.08395238095238097</v>
      </c>
      <c r="P628" s="227">
        <f t="shared" si="110"/>
        <v>0.10595238095238098</v>
      </c>
      <c r="Q628" s="227">
        <f t="shared" si="110"/>
        <v>0.06195238095238097</v>
      </c>
      <c r="R628" s="227">
        <f t="shared" si="110"/>
        <v>0.06195238095238097</v>
      </c>
      <c r="S628" s="227">
        <f t="shared" si="110"/>
        <v>0.10195238095238097</v>
      </c>
      <c r="T628" s="5">
        <f>SUM(H628:N628)</f>
        <v>0.16623809523809527</v>
      </c>
      <c r="V628" s="225">
        <f aca="true" t="shared" si="111" ref="V628:AU628">SUM(V599:V627)</f>
        <v>0</v>
      </c>
      <c r="W628" s="225">
        <f t="shared" si="111"/>
        <v>0</v>
      </c>
      <c r="X628" s="225">
        <f t="shared" si="111"/>
        <v>0</v>
      </c>
      <c r="Y628" s="225">
        <f t="shared" si="111"/>
        <v>0</v>
      </c>
      <c r="Z628" s="225">
        <f t="shared" si="111"/>
        <v>0</v>
      </c>
      <c r="AA628" s="225">
        <f t="shared" si="111"/>
        <v>0</v>
      </c>
      <c r="AB628" s="225">
        <f t="shared" si="111"/>
        <v>0</v>
      </c>
      <c r="AC628" s="225">
        <f t="shared" si="111"/>
        <v>0</v>
      </c>
      <c r="AD628" s="225"/>
      <c r="AE628" s="225">
        <f t="shared" si="111"/>
        <v>0</v>
      </c>
      <c r="AF628" s="225">
        <f t="shared" si="111"/>
        <v>0</v>
      </c>
      <c r="AG628" s="225">
        <f t="shared" si="111"/>
        <v>0</v>
      </c>
      <c r="AH628" s="225">
        <f t="shared" si="111"/>
        <v>0</v>
      </c>
      <c r="AI628" s="225">
        <f t="shared" si="111"/>
        <v>0</v>
      </c>
      <c r="AJ628" s="225">
        <f t="shared" si="111"/>
        <v>0</v>
      </c>
      <c r="AK628" s="225">
        <f t="shared" si="111"/>
        <v>0</v>
      </c>
      <c r="AL628" s="225">
        <f t="shared" si="111"/>
        <v>0</v>
      </c>
      <c r="AM628" s="225">
        <f t="shared" si="111"/>
        <v>0</v>
      </c>
      <c r="AN628" s="225">
        <f t="shared" si="111"/>
        <v>0</v>
      </c>
      <c r="AO628" s="225">
        <f t="shared" si="111"/>
        <v>0</v>
      </c>
      <c r="AP628" s="225">
        <f t="shared" si="111"/>
        <v>0</v>
      </c>
      <c r="AQ628" s="225">
        <f t="shared" si="111"/>
        <v>0</v>
      </c>
      <c r="AR628" s="225">
        <f t="shared" si="111"/>
        <v>0</v>
      </c>
      <c r="AS628" s="225">
        <f t="shared" si="111"/>
        <v>0</v>
      </c>
      <c r="AT628" s="225">
        <f t="shared" si="111"/>
        <v>0</v>
      </c>
      <c r="AU628" s="225">
        <f t="shared" si="111"/>
        <v>0</v>
      </c>
    </row>
    <row r="629" spans="1:47" ht="6" customHeight="1">
      <c r="A629" s="121"/>
      <c r="C629" s="5"/>
      <c r="D629" s="10"/>
      <c r="E629" s="180"/>
      <c r="F629" s="181"/>
      <c r="G629" s="10"/>
      <c r="H629" s="91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95"/>
      <c r="T629" s="94"/>
      <c r="V629" s="36"/>
      <c r="W629" s="36"/>
      <c r="X629" s="36"/>
      <c r="Y629" s="36"/>
      <c r="Z629" s="36"/>
      <c r="AA629" s="36"/>
      <c r="AB629" s="37"/>
      <c r="AC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</row>
    <row r="630" spans="1:48" ht="12.75">
      <c r="A630" s="252" t="s">
        <v>1460</v>
      </c>
      <c r="B630" s="33" t="s">
        <v>1628</v>
      </c>
      <c r="C630" s="5" t="s">
        <v>1427</v>
      </c>
      <c r="D630" s="5">
        <f>2.377+5.075-1.332</f>
        <v>6.12</v>
      </c>
      <c r="E630" s="24">
        <v>36923</v>
      </c>
      <c r="F630" s="181">
        <v>38200</v>
      </c>
      <c r="G630" s="10">
        <v>1.069</v>
      </c>
      <c r="H630" s="13">
        <v>0.71</v>
      </c>
      <c r="I630" s="13"/>
      <c r="J630" s="13"/>
      <c r="K630" s="13"/>
      <c r="L630" s="13"/>
      <c r="M630" s="13">
        <f>($D630-$G630-$Q$630)/6</f>
        <v>0.2305</v>
      </c>
      <c r="N630" s="13">
        <f aca="true" t="shared" si="112" ref="N630:S630">($D630-$G630-$Q$630)/6</f>
        <v>0.2305</v>
      </c>
      <c r="O630" s="13">
        <f t="shared" si="112"/>
        <v>0.2305</v>
      </c>
      <c r="P630" s="13">
        <f t="shared" si="112"/>
        <v>0.2305</v>
      </c>
      <c r="Q630" s="13">
        <v>3.668</v>
      </c>
      <c r="R630" s="13">
        <f t="shared" si="112"/>
        <v>0.2305</v>
      </c>
      <c r="S630" s="13">
        <f t="shared" si="112"/>
        <v>0.2305</v>
      </c>
      <c r="T630" s="5">
        <f>SUM(H630:N630)</f>
        <v>1.171</v>
      </c>
      <c r="V630" s="36"/>
      <c r="W630" s="36">
        <v>0.616</v>
      </c>
      <c r="X630" s="36"/>
      <c r="Y630" s="36"/>
      <c r="Z630" s="36"/>
      <c r="AA630" s="36">
        <f>SUM(AE630:AT630)</f>
        <v>5.5040000000000004</v>
      </c>
      <c r="AB630" s="37"/>
      <c r="AC630" s="37">
        <f>SUM(W630:AB630)</f>
        <v>6.12</v>
      </c>
      <c r="AE630" s="37">
        <f>0.616+1.145+5.075-1.332</f>
        <v>5.5040000000000004</v>
      </c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>
        <f>SUM(AE630:AT630)</f>
        <v>5.5040000000000004</v>
      </c>
      <c r="AV630" s="33" t="s">
        <v>107</v>
      </c>
    </row>
    <row r="631" spans="3:47" ht="6" customHeight="1" hidden="1">
      <c r="C631" s="5"/>
      <c r="D631" s="5"/>
      <c r="E631" s="24"/>
      <c r="F631" s="181"/>
      <c r="G631" s="10"/>
      <c r="H631" s="91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95"/>
      <c r="T631" s="94"/>
      <c r="V631" s="36"/>
      <c r="W631" s="36"/>
      <c r="X631" s="36"/>
      <c r="Y631" s="36"/>
      <c r="Z631" s="36"/>
      <c r="AA631" s="36"/>
      <c r="AB631" s="37"/>
      <c r="AC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</row>
    <row r="632" spans="2:47" ht="12" customHeight="1" hidden="1">
      <c r="B632" s="156" t="s">
        <v>394</v>
      </c>
      <c r="C632" s="157" t="s">
        <v>395</v>
      </c>
      <c r="D632" s="26">
        <v>0.04</v>
      </c>
      <c r="E632" s="158">
        <v>36251</v>
      </c>
      <c r="F632" s="159">
        <v>38412</v>
      </c>
      <c r="G632" s="10">
        <v>0.001</v>
      </c>
      <c r="H632" s="91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0.005714285714285714</v>
      </c>
      <c r="N632" s="13">
        <v>0.005714285714285714</v>
      </c>
      <c r="O632" s="13">
        <v>0.005714285714285714</v>
      </c>
      <c r="P632" s="13">
        <v>0.005714285714285714</v>
      </c>
      <c r="Q632" s="13">
        <v>0.005714285714285714</v>
      </c>
      <c r="R632" s="13">
        <v>0.005714285714285714</v>
      </c>
      <c r="S632" s="13">
        <v>0.005714285714285714</v>
      </c>
      <c r="T632" s="5">
        <f aca="true" t="shared" si="113" ref="T632:T645">SUM(H632:N632)</f>
        <v>0.011428571428571429</v>
      </c>
      <c r="V632" s="36"/>
      <c r="W632" s="36"/>
      <c r="X632" s="36"/>
      <c r="Y632" s="36"/>
      <c r="Z632" s="36"/>
      <c r="AA632" s="36"/>
      <c r="AB632" s="37"/>
      <c r="AC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</row>
    <row r="633" spans="2:47" ht="12" customHeight="1" hidden="1">
      <c r="B633" s="156" t="s">
        <v>396</v>
      </c>
      <c r="C633" s="157" t="s">
        <v>397</v>
      </c>
      <c r="D633" s="26">
        <v>0.015</v>
      </c>
      <c r="E633" s="158">
        <v>38353</v>
      </c>
      <c r="F633" s="159">
        <v>38412</v>
      </c>
      <c r="G633" s="10"/>
      <c r="H633" s="91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0.0035714285714285718</v>
      </c>
      <c r="N633" s="13">
        <v>0.0035714285714285718</v>
      </c>
      <c r="O633" s="13">
        <v>0.0035714285714285718</v>
      </c>
      <c r="P633" s="13">
        <v>0.0035714285714285718</v>
      </c>
      <c r="Q633" s="13">
        <v>0.0035714285714285718</v>
      </c>
      <c r="R633" s="13">
        <v>0.0035714285714285718</v>
      </c>
      <c r="S633" s="13">
        <v>0.0035714285714285718</v>
      </c>
      <c r="T633" s="5">
        <f t="shared" si="113"/>
        <v>0.0071428571428571435</v>
      </c>
      <c r="V633" s="36"/>
      <c r="W633" s="36"/>
      <c r="X633" s="36"/>
      <c r="Y633" s="36"/>
      <c r="Z633" s="36"/>
      <c r="AA633" s="36"/>
      <c r="AB633" s="37"/>
      <c r="AC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</row>
    <row r="634" spans="2:47" ht="12" customHeight="1" hidden="1">
      <c r="B634" s="156" t="s">
        <v>398</v>
      </c>
      <c r="C634" s="157" t="s">
        <v>399</v>
      </c>
      <c r="D634" s="26">
        <v>0.055</v>
      </c>
      <c r="E634" s="158">
        <v>35886</v>
      </c>
      <c r="F634" s="159">
        <v>38412</v>
      </c>
      <c r="G634" s="10">
        <v>0.006</v>
      </c>
      <c r="H634" s="91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0.007857142857142858</v>
      </c>
      <c r="N634" s="13">
        <v>0.007857142857142858</v>
      </c>
      <c r="O634" s="13">
        <v>0.007857142857142858</v>
      </c>
      <c r="P634" s="13">
        <v>0.007857142857142858</v>
      </c>
      <c r="Q634" s="13">
        <v>0.007857142857142858</v>
      </c>
      <c r="R634" s="13">
        <v>0.007857142857142858</v>
      </c>
      <c r="S634" s="13">
        <v>0.007857142857142858</v>
      </c>
      <c r="T634" s="5">
        <f t="shared" si="113"/>
        <v>0.015714285714285715</v>
      </c>
      <c r="V634" s="36"/>
      <c r="W634" s="36"/>
      <c r="X634" s="36"/>
      <c r="Y634" s="36"/>
      <c r="Z634" s="36"/>
      <c r="AA634" s="36"/>
      <c r="AB634" s="37"/>
      <c r="AC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</row>
    <row r="635" spans="2:47" ht="12" customHeight="1" hidden="1">
      <c r="B635" s="156" t="s">
        <v>400</v>
      </c>
      <c r="C635" s="157" t="s">
        <v>401</v>
      </c>
      <c r="D635" s="26">
        <v>0</v>
      </c>
      <c r="E635" s="158">
        <v>36617</v>
      </c>
      <c r="F635" s="159">
        <v>37316</v>
      </c>
      <c r="G635" s="10"/>
      <c r="H635" s="91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5">
        <f t="shared" si="113"/>
        <v>0</v>
      </c>
      <c r="V635" s="36"/>
      <c r="W635" s="36"/>
      <c r="X635" s="36"/>
      <c r="Y635" s="36"/>
      <c r="Z635" s="36"/>
      <c r="AA635" s="36"/>
      <c r="AB635" s="37"/>
      <c r="AC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</row>
    <row r="636" spans="2:47" ht="12" customHeight="1" hidden="1">
      <c r="B636" s="156" t="s">
        <v>402</v>
      </c>
      <c r="C636" s="157" t="s">
        <v>403</v>
      </c>
      <c r="D636" s="26">
        <v>0.004</v>
      </c>
      <c r="E636" s="158">
        <v>36617</v>
      </c>
      <c r="F636" s="159">
        <v>38412</v>
      </c>
      <c r="G636" s="10"/>
      <c r="H636" s="91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0.0005714285714285715</v>
      </c>
      <c r="N636" s="13">
        <v>0.0005714285714285715</v>
      </c>
      <c r="O636" s="13">
        <v>0.0005714285714285715</v>
      </c>
      <c r="P636" s="13">
        <v>0.0005714285714285715</v>
      </c>
      <c r="Q636" s="13">
        <v>0.0005714285714285715</v>
      </c>
      <c r="R636" s="13">
        <v>0.0005714285714285715</v>
      </c>
      <c r="S636" s="13">
        <v>0.0005714285714285715</v>
      </c>
      <c r="T636" s="5">
        <f t="shared" si="113"/>
        <v>0.001142857142857143</v>
      </c>
      <c r="V636" s="36"/>
      <c r="W636" s="36"/>
      <c r="X636" s="36"/>
      <c r="Y636" s="36"/>
      <c r="Z636" s="36"/>
      <c r="AA636" s="36"/>
      <c r="AB636" s="37"/>
      <c r="AC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</row>
    <row r="637" spans="2:47" ht="12.75" hidden="1">
      <c r="B637" s="33" t="s">
        <v>1643</v>
      </c>
      <c r="C637" s="5" t="s">
        <v>1644</v>
      </c>
      <c r="D637" s="5">
        <v>0.3</v>
      </c>
      <c r="E637" s="24">
        <v>37712</v>
      </c>
      <c r="F637" s="181">
        <v>38412</v>
      </c>
      <c r="G637" s="10">
        <v>0.147</v>
      </c>
      <c r="H637" s="91">
        <v>0.1</v>
      </c>
      <c r="I637" s="13">
        <v>0</v>
      </c>
      <c r="J637" s="13">
        <v>0</v>
      </c>
      <c r="K637" s="13">
        <v>0</v>
      </c>
      <c r="L637" s="13">
        <v>0</v>
      </c>
      <c r="M637" s="13">
        <v>0.02857142857142857</v>
      </c>
      <c r="N637" s="13">
        <v>0.02857142857142857</v>
      </c>
      <c r="O637" s="13">
        <v>0.02857142857142857</v>
      </c>
      <c r="P637" s="13">
        <v>0.02857142857142857</v>
      </c>
      <c r="Q637" s="13">
        <v>0.02857142857142857</v>
      </c>
      <c r="R637" s="13">
        <v>0.02857142857142857</v>
      </c>
      <c r="S637" s="13">
        <v>0.02857142857142857</v>
      </c>
      <c r="T637" s="5">
        <f t="shared" si="113"/>
        <v>0.15714285714285717</v>
      </c>
      <c r="V637" s="36"/>
      <c r="W637" s="36"/>
      <c r="X637" s="36"/>
      <c r="Y637" s="36"/>
      <c r="Z637" s="36"/>
      <c r="AA637" s="36"/>
      <c r="AB637" s="37"/>
      <c r="AC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</row>
    <row r="638" spans="2:47" ht="12.75" hidden="1">
      <c r="B638" s="156" t="s">
        <v>404</v>
      </c>
      <c r="C638" s="157" t="s">
        <v>407</v>
      </c>
      <c r="D638" s="26">
        <v>0.001</v>
      </c>
      <c r="E638" s="158">
        <v>37773</v>
      </c>
      <c r="F638" s="159">
        <v>38047</v>
      </c>
      <c r="G638" s="10">
        <v>0.001</v>
      </c>
      <c r="H638" s="91">
        <v>0.001</v>
      </c>
      <c r="I638" s="13">
        <v>8.333333333333333E-05</v>
      </c>
      <c r="J638" s="13">
        <v>8.333333333333333E-05</v>
      </c>
      <c r="K638" s="13">
        <v>8.333333333333333E-05</v>
      </c>
      <c r="L638" s="13">
        <v>8.333333333333333E-05</v>
      </c>
      <c r="M638" s="13">
        <v>8.333333333333333E-05</v>
      </c>
      <c r="N638" s="13">
        <v>8.333333333333333E-05</v>
      </c>
      <c r="O638" s="13">
        <v>8.333333333333333E-05</v>
      </c>
      <c r="P638" s="13">
        <v>8.333333333333333E-05</v>
      </c>
      <c r="Q638" s="13">
        <v>8.333333333333333E-05</v>
      </c>
      <c r="R638" s="13">
        <v>8.333333333333333E-05</v>
      </c>
      <c r="S638" s="13">
        <v>8.333333333333333E-05</v>
      </c>
      <c r="T638" s="5">
        <f t="shared" si="113"/>
        <v>0.0014999999999999996</v>
      </c>
      <c r="V638" s="36"/>
      <c r="W638" s="36"/>
      <c r="X638" s="36"/>
      <c r="Y638" s="36"/>
      <c r="Z638" s="36"/>
      <c r="AA638" s="36"/>
      <c r="AB638" s="37"/>
      <c r="AC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</row>
    <row r="639" spans="2:47" ht="12.75" hidden="1">
      <c r="B639" s="156" t="s">
        <v>408</v>
      </c>
      <c r="C639" s="157" t="s">
        <v>409</v>
      </c>
      <c r="D639" s="26">
        <v>0.041</v>
      </c>
      <c r="E639" s="158">
        <v>38200</v>
      </c>
      <c r="F639" s="159">
        <v>38261</v>
      </c>
      <c r="G639" s="10">
        <v>0.005</v>
      </c>
      <c r="H639" s="91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0.013</v>
      </c>
      <c r="N639" s="13">
        <v>0.013</v>
      </c>
      <c r="O639" s="13">
        <v>0.015</v>
      </c>
      <c r="P639" s="13"/>
      <c r="Q639" s="13"/>
      <c r="R639" s="13"/>
      <c r="S639" s="13"/>
      <c r="T639" s="5">
        <f t="shared" si="113"/>
        <v>0.026</v>
      </c>
      <c r="V639" s="36"/>
      <c r="W639" s="36"/>
      <c r="X639" s="36"/>
      <c r="Y639" s="36"/>
      <c r="Z639" s="36"/>
      <c r="AA639" s="36"/>
      <c r="AB639" s="37"/>
      <c r="AC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</row>
    <row r="640" spans="2:47" ht="12.75" hidden="1">
      <c r="B640" s="156" t="s">
        <v>410</v>
      </c>
      <c r="C640" s="157" t="s">
        <v>411</v>
      </c>
      <c r="D640" s="26">
        <v>0</v>
      </c>
      <c r="E640" s="158">
        <v>36982</v>
      </c>
      <c r="F640" s="159">
        <v>38047</v>
      </c>
      <c r="G640" s="10"/>
      <c r="H640" s="91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5">
        <f t="shared" si="113"/>
        <v>0</v>
      </c>
      <c r="V640" s="36"/>
      <c r="W640" s="36"/>
      <c r="X640" s="36"/>
      <c r="Y640" s="36"/>
      <c r="Z640" s="36"/>
      <c r="AA640" s="36"/>
      <c r="AB640" s="37"/>
      <c r="AC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</row>
    <row r="641" spans="2:47" ht="12.75" hidden="1">
      <c r="B641" s="33" t="s">
        <v>1645</v>
      </c>
      <c r="C641" s="5" t="s">
        <v>1646</v>
      </c>
      <c r="D641" s="5">
        <v>0.08</v>
      </c>
      <c r="E641" s="24">
        <v>37926</v>
      </c>
      <c r="F641" s="181">
        <v>38169</v>
      </c>
      <c r="G641" s="10">
        <v>0.02</v>
      </c>
      <c r="H641" s="91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0.01242857142857143</v>
      </c>
      <c r="N641" s="13">
        <v>0.01242857142857143</v>
      </c>
      <c r="O641" s="13">
        <v>0.01242857142857143</v>
      </c>
      <c r="P641" s="13">
        <v>0.01242857142857143</v>
      </c>
      <c r="Q641" s="13">
        <v>0.01242857142857143</v>
      </c>
      <c r="R641" s="13">
        <v>0.01242857142857143</v>
      </c>
      <c r="S641" s="13">
        <v>0.01242857142857143</v>
      </c>
      <c r="T641" s="5">
        <f t="shared" si="113"/>
        <v>0.02485714285714286</v>
      </c>
      <c r="V641" s="36"/>
      <c r="W641" s="36"/>
      <c r="X641" s="36"/>
      <c r="Y641" s="36"/>
      <c r="Z641" s="36"/>
      <c r="AA641" s="36"/>
      <c r="AB641" s="37"/>
      <c r="AC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</row>
    <row r="642" spans="2:47" ht="12.75" hidden="1">
      <c r="B642" s="156" t="s">
        <v>412</v>
      </c>
      <c r="C642" s="157" t="s">
        <v>413</v>
      </c>
      <c r="D642" s="26">
        <v>0.005</v>
      </c>
      <c r="E642" s="158">
        <v>37834</v>
      </c>
      <c r="F642" s="159">
        <v>38412</v>
      </c>
      <c r="G642" s="10"/>
      <c r="H642" s="91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0.002142857142857143</v>
      </c>
      <c r="N642" s="13">
        <v>0.002142857142857143</v>
      </c>
      <c r="O642" s="13">
        <v>0.002142857142857143</v>
      </c>
      <c r="P642" s="13">
        <v>0.002142857142857143</v>
      </c>
      <c r="Q642" s="13">
        <v>0.002142857142857143</v>
      </c>
      <c r="R642" s="13">
        <v>0.002142857142857143</v>
      </c>
      <c r="S642" s="13">
        <v>0.002142857142857143</v>
      </c>
      <c r="T642" s="5">
        <f t="shared" si="113"/>
        <v>0.004285714285714286</v>
      </c>
      <c r="V642" s="36"/>
      <c r="W642" s="36"/>
      <c r="X642" s="36"/>
      <c r="Y642" s="36"/>
      <c r="Z642" s="36"/>
      <c r="AA642" s="36"/>
      <c r="AB642" s="37"/>
      <c r="AC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</row>
    <row r="643" spans="2:47" ht="12.75" hidden="1">
      <c r="B643" s="156" t="s">
        <v>414</v>
      </c>
      <c r="C643" s="157" t="s">
        <v>415</v>
      </c>
      <c r="D643" s="26">
        <v>0.01</v>
      </c>
      <c r="E643" s="158">
        <v>37773</v>
      </c>
      <c r="F643" s="159">
        <v>38412</v>
      </c>
      <c r="G643" s="10"/>
      <c r="H643" s="91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0.0014285714285714286</v>
      </c>
      <c r="N643" s="13">
        <v>0.0014285714285714286</v>
      </c>
      <c r="O643" s="13">
        <v>0.0014285714285714286</v>
      </c>
      <c r="P643" s="13">
        <v>0.0014285714285714286</v>
      </c>
      <c r="Q643" s="13">
        <v>0.0014285714285714286</v>
      </c>
      <c r="R643" s="13">
        <v>0.0014285714285714286</v>
      </c>
      <c r="S643" s="13">
        <v>0.0014285714285714286</v>
      </c>
      <c r="T643" s="5">
        <f t="shared" si="113"/>
        <v>0.002857142857142857</v>
      </c>
      <c r="V643" s="36"/>
      <c r="W643" s="36"/>
      <c r="X643" s="36"/>
      <c r="Y643" s="36"/>
      <c r="Z643" s="36"/>
      <c r="AA643" s="36"/>
      <c r="AB643" s="37"/>
      <c r="AC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</row>
    <row r="644" spans="2:47" ht="12.75" hidden="1">
      <c r="B644" s="156" t="s">
        <v>416</v>
      </c>
      <c r="C644" s="157" t="s">
        <v>417</v>
      </c>
      <c r="D644" s="26">
        <v>0.01</v>
      </c>
      <c r="E644" s="158">
        <v>38353</v>
      </c>
      <c r="F644" s="159">
        <v>38777</v>
      </c>
      <c r="G644" s="10"/>
      <c r="H644" s="91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0.0014285714285714286</v>
      </c>
      <c r="N644" s="13">
        <v>0.0014285714285714286</v>
      </c>
      <c r="O644" s="13">
        <v>0.0014285714285714286</v>
      </c>
      <c r="P644" s="13">
        <v>0.0014285714285714286</v>
      </c>
      <c r="Q644" s="13">
        <v>0.0014285714285714286</v>
      </c>
      <c r="R644" s="13">
        <v>0.0014285714285714286</v>
      </c>
      <c r="S644" s="13">
        <v>0.0014285714285714286</v>
      </c>
      <c r="T644" s="5">
        <f t="shared" si="113"/>
        <v>0.002857142857142857</v>
      </c>
      <c r="V644" s="36"/>
      <c r="W644" s="36"/>
      <c r="X644" s="36"/>
      <c r="Y644" s="36"/>
      <c r="Z644" s="36"/>
      <c r="AA644" s="36"/>
      <c r="AB644" s="37"/>
      <c r="AC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</row>
    <row r="645" spans="2:47" ht="12.75" hidden="1">
      <c r="B645" s="156" t="s">
        <v>562</v>
      </c>
      <c r="C645" s="157" t="s">
        <v>418</v>
      </c>
      <c r="D645" s="26">
        <v>0.285</v>
      </c>
      <c r="E645" s="158">
        <v>38322</v>
      </c>
      <c r="F645" s="159">
        <v>38384</v>
      </c>
      <c r="G645" s="10"/>
      <c r="H645" s="91">
        <v>0</v>
      </c>
      <c r="I645" s="13">
        <v>0</v>
      </c>
      <c r="J645" s="13">
        <v>0</v>
      </c>
      <c r="K645" s="13">
        <v>0</v>
      </c>
      <c r="L645" s="13">
        <v>0.002</v>
      </c>
      <c r="M645" s="13">
        <v>0.006</v>
      </c>
      <c r="N645" s="13">
        <v>0.055</v>
      </c>
      <c r="O645" s="13">
        <v>0.055</v>
      </c>
      <c r="P645" s="13">
        <v>0.08</v>
      </c>
      <c r="Q645" s="13">
        <v>0.08</v>
      </c>
      <c r="R645" s="13">
        <v>0.015</v>
      </c>
      <c r="S645" s="13">
        <v>0.015</v>
      </c>
      <c r="T645" s="5">
        <f t="shared" si="113"/>
        <v>0.063</v>
      </c>
      <c r="V645" s="36"/>
      <c r="W645" s="36"/>
      <c r="X645" s="36"/>
      <c r="Y645" s="36"/>
      <c r="Z645" s="36"/>
      <c r="AA645" s="36"/>
      <c r="AB645" s="37"/>
      <c r="AC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</row>
    <row r="646" spans="2:47" ht="12.75" hidden="1">
      <c r="B646" s="156" t="s">
        <v>1571</v>
      </c>
      <c r="C646" s="157" t="s">
        <v>1572</v>
      </c>
      <c r="D646" s="26">
        <v>0.08</v>
      </c>
      <c r="E646" s="158"/>
      <c r="F646" s="159"/>
      <c r="G646" s="10"/>
      <c r="H646" s="91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5"/>
      <c r="V646" s="36"/>
      <c r="W646" s="36"/>
      <c r="X646" s="36"/>
      <c r="Y646" s="36"/>
      <c r="Z646" s="36"/>
      <c r="AA646" s="36"/>
      <c r="AB646" s="37"/>
      <c r="AC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</row>
    <row r="647" spans="2:47" ht="12.75" hidden="1">
      <c r="B647" s="156" t="s">
        <v>561</v>
      </c>
      <c r="C647" s="157" t="s">
        <v>419</v>
      </c>
      <c r="D647" s="26">
        <v>0.002</v>
      </c>
      <c r="E647" s="158">
        <v>38565</v>
      </c>
      <c r="F647" s="159">
        <v>38777</v>
      </c>
      <c r="G647" s="10"/>
      <c r="H647" s="91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0.001142857142857143</v>
      </c>
      <c r="N647" s="13">
        <v>0.001142857142857143</v>
      </c>
      <c r="O647" s="13">
        <v>0.001142857142857143</v>
      </c>
      <c r="P647" s="13">
        <v>0.001142857142857143</v>
      </c>
      <c r="Q647" s="13">
        <v>0.001142857142857143</v>
      </c>
      <c r="R647" s="13">
        <v>0.001142857142857143</v>
      </c>
      <c r="S647" s="13">
        <v>0.001142857142857143</v>
      </c>
      <c r="T647" s="5">
        <f>SUM(H647:N647)</f>
        <v>0.002285714285714286</v>
      </c>
      <c r="V647" s="36"/>
      <c r="W647" s="36"/>
      <c r="X647" s="36"/>
      <c r="Y647" s="36"/>
      <c r="Z647" s="36"/>
      <c r="AA647" s="36"/>
      <c r="AB647" s="37"/>
      <c r="AC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</row>
    <row r="648" spans="2:47" ht="12.75" hidden="1">
      <c r="B648" s="156" t="s">
        <v>560</v>
      </c>
      <c r="C648" s="157" t="s">
        <v>420</v>
      </c>
      <c r="D648" s="26">
        <v>0.05</v>
      </c>
      <c r="E648" s="158">
        <v>38322</v>
      </c>
      <c r="F648" s="159">
        <v>38412</v>
      </c>
      <c r="G648" s="10">
        <v>0.001</v>
      </c>
      <c r="H648" s="91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0.0071428571428571435</v>
      </c>
      <c r="N648" s="13">
        <v>0.0071428571428571435</v>
      </c>
      <c r="O648" s="13">
        <v>0.0071428571428571435</v>
      </c>
      <c r="P648" s="13">
        <v>0.0071428571428571435</v>
      </c>
      <c r="Q648" s="13">
        <v>0.0071428571428571435</v>
      </c>
      <c r="R648" s="13">
        <v>0.0071428571428571435</v>
      </c>
      <c r="S648" s="13">
        <v>0.0071428571428571435</v>
      </c>
      <c r="T648" s="5">
        <f>SUM(H648:N648)</f>
        <v>0.014285714285714287</v>
      </c>
      <c r="V648" s="36"/>
      <c r="W648" s="36"/>
      <c r="X648" s="36"/>
      <c r="Y648" s="36"/>
      <c r="Z648" s="36"/>
      <c r="AA648" s="36"/>
      <c r="AB648" s="37"/>
      <c r="AC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</row>
    <row r="649" spans="2:47" ht="12.75" hidden="1">
      <c r="B649" s="156" t="s">
        <v>1141</v>
      </c>
      <c r="C649" s="157" t="s">
        <v>1142</v>
      </c>
      <c r="D649" s="26">
        <v>0.03</v>
      </c>
      <c r="E649" s="158"/>
      <c r="F649" s="159"/>
      <c r="G649" s="10"/>
      <c r="H649" s="91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5"/>
      <c r="V649" s="36"/>
      <c r="W649" s="36"/>
      <c r="X649" s="36"/>
      <c r="Y649" s="36"/>
      <c r="Z649" s="36"/>
      <c r="AA649" s="36"/>
      <c r="AB649" s="37"/>
      <c r="AC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</row>
    <row r="650" spans="2:47" ht="12.75" hidden="1">
      <c r="B650" s="156" t="s">
        <v>1140</v>
      </c>
      <c r="C650" s="157" t="s">
        <v>1256</v>
      </c>
      <c r="D650" s="26">
        <v>0.017</v>
      </c>
      <c r="E650" s="158"/>
      <c r="F650" s="159"/>
      <c r="G650" s="10">
        <v>0.006</v>
      </c>
      <c r="H650" s="91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0.002428571428571429</v>
      </c>
      <c r="N650" s="13">
        <v>0.002428571428571429</v>
      </c>
      <c r="O650" s="13">
        <v>0.002428571428571429</v>
      </c>
      <c r="P650" s="13">
        <v>0.002428571428571429</v>
      </c>
      <c r="Q650" s="13">
        <v>0.002428571428571429</v>
      </c>
      <c r="R650" s="13">
        <v>0.002428571428571429</v>
      </c>
      <c r="S650" s="13">
        <v>0.002428571428571429</v>
      </c>
      <c r="T650" s="5">
        <f>SUM(H650:N650)</f>
        <v>0.004857142857142858</v>
      </c>
      <c r="V650" s="36"/>
      <c r="W650" s="36"/>
      <c r="X650" s="36"/>
      <c r="Y650" s="36"/>
      <c r="Z650" s="36"/>
      <c r="AA650" s="36"/>
      <c r="AB650" s="37"/>
      <c r="AC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</row>
    <row r="651" spans="2:47" ht="12.75">
      <c r="B651" s="252" t="s">
        <v>1460</v>
      </c>
      <c r="C651" s="103" t="s">
        <v>1369</v>
      </c>
      <c r="D651" s="104">
        <f>SUM(D632:D650)</f>
        <v>1.0249999999999997</v>
      </c>
      <c r="E651" s="158">
        <v>38078</v>
      </c>
      <c r="F651" s="159">
        <v>38412</v>
      </c>
      <c r="G651" s="104">
        <f aca="true" t="shared" si="114" ref="G651:T651">SUM(G632:G650)</f>
        <v>0.187</v>
      </c>
      <c r="H651" s="226">
        <f t="shared" si="114"/>
        <v>0.101</v>
      </c>
      <c r="I651" s="227">
        <f t="shared" si="114"/>
        <v>8.333333333333333E-05</v>
      </c>
      <c r="J651" s="227">
        <f t="shared" si="114"/>
        <v>8.333333333333333E-05</v>
      </c>
      <c r="K651" s="227">
        <f t="shared" si="114"/>
        <v>8.333333333333333E-05</v>
      </c>
      <c r="L651" s="227">
        <f t="shared" si="114"/>
        <v>0.0020833333333333333</v>
      </c>
      <c r="M651" s="227">
        <f t="shared" si="114"/>
        <v>0.09351190476190477</v>
      </c>
      <c r="N651" s="227">
        <f t="shared" si="114"/>
        <v>0.14251190476190476</v>
      </c>
      <c r="O651" s="227">
        <f t="shared" si="114"/>
        <v>0.14451190476190476</v>
      </c>
      <c r="P651" s="227">
        <f t="shared" si="114"/>
        <v>0.15451190476190477</v>
      </c>
      <c r="Q651" s="227">
        <f t="shared" si="114"/>
        <v>0.15451190476190477</v>
      </c>
      <c r="R651" s="227">
        <f t="shared" si="114"/>
        <v>0.08951190476190476</v>
      </c>
      <c r="S651" s="227">
        <f t="shared" si="114"/>
        <v>0.08951190476190476</v>
      </c>
      <c r="T651" s="104">
        <f t="shared" si="114"/>
        <v>0.3393571428571428</v>
      </c>
      <c r="V651" s="225">
        <f aca="true" t="shared" si="115" ref="V651:AC651">SUM(V632:V650)</f>
        <v>0</v>
      </c>
      <c r="W651" s="225">
        <f t="shared" si="115"/>
        <v>0</v>
      </c>
      <c r="X651" s="225">
        <f t="shared" si="115"/>
        <v>0</v>
      </c>
      <c r="Y651" s="225">
        <f t="shared" si="115"/>
        <v>0</v>
      </c>
      <c r="Z651" s="225">
        <f t="shared" si="115"/>
        <v>0</v>
      </c>
      <c r="AA651" s="225">
        <f t="shared" si="115"/>
        <v>0</v>
      </c>
      <c r="AB651" s="225">
        <f t="shared" si="115"/>
        <v>0</v>
      </c>
      <c r="AC651" s="225">
        <f t="shared" si="115"/>
        <v>0</v>
      </c>
      <c r="AE651" s="225">
        <f aca="true" t="shared" si="116" ref="AE651:AU651">SUM(AE632:AE650)</f>
        <v>0</v>
      </c>
      <c r="AF651" s="225">
        <f t="shared" si="116"/>
        <v>0</v>
      </c>
      <c r="AG651" s="225">
        <f t="shared" si="116"/>
        <v>0</v>
      </c>
      <c r="AH651" s="225">
        <f t="shared" si="116"/>
        <v>0</v>
      </c>
      <c r="AI651" s="225">
        <f t="shared" si="116"/>
        <v>0</v>
      </c>
      <c r="AJ651" s="225">
        <f t="shared" si="116"/>
        <v>0</v>
      </c>
      <c r="AK651" s="225">
        <f t="shared" si="116"/>
        <v>0</v>
      </c>
      <c r="AL651" s="225">
        <f t="shared" si="116"/>
        <v>0</v>
      </c>
      <c r="AM651" s="225">
        <f t="shared" si="116"/>
        <v>0</v>
      </c>
      <c r="AN651" s="225">
        <f t="shared" si="116"/>
        <v>0</v>
      </c>
      <c r="AO651" s="225">
        <f t="shared" si="116"/>
        <v>0</v>
      </c>
      <c r="AP651" s="225">
        <f t="shared" si="116"/>
        <v>0</v>
      </c>
      <c r="AQ651" s="225">
        <f t="shared" si="116"/>
        <v>0</v>
      </c>
      <c r="AR651" s="225">
        <f t="shared" si="116"/>
        <v>0</v>
      </c>
      <c r="AS651" s="225">
        <f t="shared" si="116"/>
        <v>0</v>
      </c>
      <c r="AT651" s="225">
        <f t="shared" si="116"/>
        <v>0</v>
      </c>
      <c r="AU651" s="225">
        <f t="shared" si="116"/>
        <v>0</v>
      </c>
    </row>
    <row r="652" spans="3:47" ht="6" customHeight="1" hidden="1">
      <c r="C652" s="5"/>
      <c r="D652" s="10"/>
      <c r="E652" s="180"/>
      <c r="F652" s="181"/>
      <c r="G652" s="10"/>
      <c r="H652" s="91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95"/>
      <c r="T652" s="94"/>
      <c r="V652" s="36"/>
      <c r="W652" s="36"/>
      <c r="X652" s="36"/>
      <c r="Y652" s="36"/>
      <c r="Z652" s="36"/>
      <c r="AA652" s="36"/>
      <c r="AB652" s="37"/>
      <c r="AC652" s="56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</row>
    <row r="653" spans="2:47" ht="14.25" customHeight="1" hidden="1">
      <c r="B653" s="156" t="s">
        <v>341</v>
      </c>
      <c r="C653" s="157" t="s">
        <v>342</v>
      </c>
      <c r="D653" s="26">
        <v>0</v>
      </c>
      <c r="E653" s="158">
        <v>36892</v>
      </c>
      <c r="F653" s="159">
        <v>37347</v>
      </c>
      <c r="G653" s="10"/>
      <c r="H653" s="91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5">
        <f aca="true" t="shared" si="117" ref="T653:T672">SUM(H653:N653)</f>
        <v>0</v>
      </c>
      <c r="V653" s="36"/>
      <c r="W653" s="36"/>
      <c r="X653" s="36"/>
      <c r="Y653" s="36"/>
      <c r="Z653" s="36"/>
      <c r="AA653" s="36"/>
      <c r="AB653" s="37"/>
      <c r="AC653" s="56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</row>
    <row r="654" spans="2:47" ht="14.25" customHeight="1" hidden="1">
      <c r="B654" s="156" t="s">
        <v>356</v>
      </c>
      <c r="C654" s="157" t="s">
        <v>125</v>
      </c>
      <c r="D654" s="26">
        <v>0.001</v>
      </c>
      <c r="E654" s="158"/>
      <c r="F654" s="159"/>
      <c r="G654" s="10">
        <v>0.001</v>
      </c>
      <c r="H654" s="91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5"/>
      <c r="V654" s="36"/>
      <c r="W654" s="36"/>
      <c r="X654" s="36"/>
      <c r="Y654" s="36"/>
      <c r="Z654" s="36"/>
      <c r="AA654" s="36"/>
      <c r="AB654" s="37"/>
      <c r="AC654" s="56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</row>
    <row r="655" spans="2:47" ht="12.75" hidden="1">
      <c r="B655" s="33" t="s">
        <v>1635</v>
      </c>
      <c r="C655" s="5" t="s">
        <v>1636</v>
      </c>
      <c r="D655" s="10">
        <v>0.017</v>
      </c>
      <c r="E655" s="180">
        <v>37834</v>
      </c>
      <c r="F655" s="181">
        <v>37956</v>
      </c>
      <c r="G655" s="10">
        <v>0.017</v>
      </c>
      <c r="H655" s="91">
        <v>0.017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5">
        <f t="shared" si="117"/>
        <v>0.017</v>
      </c>
      <c r="V655" s="36"/>
      <c r="W655" s="36"/>
      <c r="X655" s="36"/>
      <c r="Y655" s="36"/>
      <c r="Z655" s="36"/>
      <c r="AA655" s="36"/>
      <c r="AB655" s="37"/>
      <c r="AC655" s="56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</row>
    <row r="656" spans="2:47" ht="12.75" hidden="1">
      <c r="B656" s="156" t="s">
        <v>343</v>
      </c>
      <c r="C656" s="157" t="s">
        <v>344</v>
      </c>
      <c r="D656" s="26">
        <v>0</v>
      </c>
      <c r="E656" s="158">
        <v>38353</v>
      </c>
      <c r="F656" s="159">
        <v>38412</v>
      </c>
      <c r="G656" s="10"/>
      <c r="H656" s="91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5">
        <f t="shared" si="117"/>
        <v>0</v>
      </c>
      <c r="V656" s="36"/>
      <c r="W656" s="36"/>
      <c r="X656" s="36"/>
      <c r="Y656" s="36"/>
      <c r="Z656" s="36"/>
      <c r="AA656" s="36"/>
      <c r="AB656" s="37"/>
      <c r="AC656" s="56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</row>
    <row r="657" spans="2:47" ht="12.75" hidden="1">
      <c r="B657" s="156" t="s">
        <v>345</v>
      </c>
      <c r="C657" s="157" t="s">
        <v>346</v>
      </c>
      <c r="D657" s="26">
        <v>0.02</v>
      </c>
      <c r="E657" s="158">
        <v>38078</v>
      </c>
      <c r="F657" s="159">
        <v>38412</v>
      </c>
      <c r="G657" s="10"/>
      <c r="H657" s="91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0.002857142857142857</v>
      </c>
      <c r="N657" s="13">
        <v>0.002857142857142857</v>
      </c>
      <c r="O657" s="13">
        <v>0.002857142857142857</v>
      </c>
      <c r="P657" s="13">
        <v>0.002857142857142857</v>
      </c>
      <c r="Q657" s="13">
        <v>0.002857142857142857</v>
      </c>
      <c r="R657" s="13">
        <v>0.002857142857142857</v>
      </c>
      <c r="S657" s="13">
        <v>0.002857142857142857</v>
      </c>
      <c r="T657" s="5">
        <f t="shared" si="117"/>
        <v>0.005714285714285714</v>
      </c>
      <c r="V657" s="36"/>
      <c r="W657" s="36"/>
      <c r="X657" s="36"/>
      <c r="Y657" s="36"/>
      <c r="Z657" s="36"/>
      <c r="AA657" s="36"/>
      <c r="AB657" s="37"/>
      <c r="AC657" s="56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</row>
    <row r="658" spans="2:47" ht="12.75" hidden="1">
      <c r="B658" s="156" t="s">
        <v>347</v>
      </c>
      <c r="C658" s="157" t="s">
        <v>348</v>
      </c>
      <c r="D658" s="26">
        <v>0.215</v>
      </c>
      <c r="E658" s="158">
        <v>37987</v>
      </c>
      <c r="F658" s="159">
        <v>38139</v>
      </c>
      <c r="G658" s="10">
        <v>0.13</v>
      </c>
      <c r="H658" s="91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0.032</v>
      </c>
      <c r="N658" s="13">
        <v>0.032</v>
      </c>
      <c r="O658" s="13">
        <v>0.032</v>
      </c>
      <c r="P658" s="13">
        <v>0.032</v>
      </c>
      <c r="Q658" s="13">
        <v>0.032</v>
      </c>
      <c r="R658" s="13">
        <v>0.032</v>
      </c>
      <c r="S658" s="13">
        <v>0.032</v>
      </c>
      <c r="T658" s="5">
        <f t="shared" si="117"/>
        <v>0.064</v>
      </c>
      <c r="V658" s="36"/>
      <c r="W658" s="36"/>
      <c r="X658" s="36"/>
      <c r="Y658" s="36"/>
      <c r="Z658" s="36"/>
      <c r="AA658" s="36"/>
      <c r="AB658" s="37"/>
      <c r="AC658" s="56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</row>
    <row r="659" spans="2:47" ht="12.75" hidden="1">
      <c r="B659" s="33" t="s">
        <v>1637</v>
      </c>
      <c r="C659" s="5" t="s">
        <v>1638</v>
      </c>
      <c r="D659" s="10">
        <v>0.002</v>
      </c>
      <c r="E659" s="180">
        <v>37288</v>
      </c>
      <c r="F659" s="181">
        <v>37408</v>
      </c>
      <c r="G659" s="10">
        <v>0.002</v>
      </c>
      <c r="H659" s="91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5">
        <f t="shared" si="117"/>
        <v>0</v>
      </c>
      <c r="V659" s="36"/>
      <c r="W659" s="36"/>
      <c r="X659" s="36"/>
      <c r="Y659" s="36"/>
      <c r="Z659" s="36"/>
      <c r="AA659" s="36"/>
      <c r="AB659" s="37"/>
      <c r="AC659" s="56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</row>
    <row r="660" spans="2:47" ht="12.75" hidden="1">
      <c r="B660" s="156" t="s">
        <v>349</v>
      </c>
      <c r="C660" s="157" t="s">
        <v>350</v>
      </c>
      <c r="D660" s="26">
        <v>0.05</v>
      </c>
      <c r="E660" s="158">
        <v>37622</v>
      </c>
      <c r="F660" s="159">
        <v>37834</v>
      </c>
      <c r="G660" s="10">
        <v>0.002</v>
      </c>
      <c r="H660" s="91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0.0071428571428571435</v>
      </c>
      <c r="N660" s="13">
        <v>0.0071428571428571435</v>
      </c>
      <c r="O660" s="13">
        <v>0.0071428571428571435</v>
      </c>
      <c r="P660" s="13">
        <v>0.0071428571428571435</v>
      </c>
      <c r="Q660" s="13">
        <v>0.0071428571428571435</v>
      </c>
      <c r="R660" s="13">
        <v>0.0071428571428571435</v>
      </c>
      <c r="S660" s="13">
        <v>0.0071428571428571435</v>
      </c>
      <c r="T660" s="5">
        <f t="shared" si="117"/>
        <v>0.014285714285714287</v>
      </c>
      <c r="V660" s="36"/>
      <c r="W660" s="36"/>
      <c r="X660" s="36"/>
      <c r="Y660" s="36"/>
      <c r="Z660" s="36"/>
      <c r="AA660" s="36"/>
      <c r="AB660" s="37"/>
      <c r="AC660" s="56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</row>
    <row r="661" spans="2:47" ht="12.75" hidden="1">
      <c r="B661" s="156" t="s">
        <v>351</v>
      </c>
      <c r="C661" s="157" t="s">
        <v>352</v>
      </c>
      <c r="D661" s="26">
        <v>0.019</v>
      </c>
      <c r="E661" s="158">
        <v>37622</v>
      </c>
      <c r="F661" s="159">
        <v>37803</v>
      </c>
      <c r="G661" s="10">
        <v>-0.008</v>
      </c>
      <c r="H661" s="91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0.005857142857142857</v>
      </c>
      <c r="N661" s="13">
        <v>0.005857142857142857</v>
      </c>
      <c r="O661" s="13">
        <v>0.005857142857142857</v>
      </c>
      <c r="P661" s="13">
        <v>0.005857142857142857</v>
      </c>
      <c r="Q661" s="13">
        <v>0.005857142857142857</v>
      </c>
      <c r="R661" s="13">
        <v>0.005857142857142857</v>
      </c>
      <c r="S661" s="13">
        <v>0.005857142857142857</v>
      </c>
      <c r="T661" s="5">
        <f t="shared" si="117"/>
        <v>0.011714285714285714</v>
      </c>
      <c r="V661" s="36"/>
      <c r="W661" s="36"/>
      <c r="X661" s="36"/>
      <c r="Y661" s="36"/>
      <c r="Z661" s="36"/>
      <c r="AA661" s="36"/>
      <c r="AB661" s="37"/>
      <c r="AC661" s="56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</row>
    <row r="662" spans="2:47" ht="12.75" hidden="1">
      <c r="B662" s="33" t="s">
        <v>1639</v>
      </c>
      <c r="C662" s="5" t="s">
        <v>1640</v>
      </c>
      <c r="D662" s="10">
        <v>0.325</v>
      </c>
      <c r="E662" s="180">
        <v>37895</v>
      </c>
      <c r="F662" s="181">
        <v>38412</v>
      </c>
      <c r="G662" s="10">
        <v>0.027</v>
      </c>
      <c r="H662" s="91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0.07342857142857143</v>
      </c>
      <c r="N662" s="13">
        <v>0.07342857142857143</v>
      </c>
      <c r="O662" s="13">
        <v>0.07342857142857143</v>
      </c>
      <c r="P662" s="13">
        <v>0.07342857142857143</v>
      </c>
      <c r="Q662" s="13">
        <v>0.07342857142857143</v>
      </c>
      <c r="R662" s="13">
        <v>0.07342857142857143</v>
      </c>
      <c r="S662" s="13">
        <v>0.07342857142857143</v>
      </c>
      <c r="T662" s="5">
        <f t="shared" si="117"/>
        <v>0.14685714285714285</v>
      </c>
      <c r="V662" s="36"/>
      <c r="W662" s="36"/>
      <c r="X662" s="36"/>
      <c r="Y662" s="36"/>
      <c r="Z662" s="36"/>
      <c r="AA662" s="36"/>
      <c r="AB662" s="37"/>
      <c r="AC662" s="56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</row>
    <row r="663" spans="2:47" ht="12.75" hidden="1">
      <c r="B663" s="156" t="s">
        <v>353</v>
      </c>
      <c r="C663" s="157" t="s">
        <v>354</v>
      </c>
      <c r="D663" s="26">
        <v>0</v>
      </c>
      <c r="E663" s="158" t="s">
        <v>355</v>
      </c>
      <c r="F663" s="159" t="s">
        <v>355</v>
      </c>
      <c r="G663" s="10"/>
      <c r="H663" s="91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5">
        <f t="shared" si="117"/>
        <v>0</v>
      </c>
      <c r="V663" s="36"/>
      <c r="W663" s="36"/>
      <c r="X663" s="36"/>
      <c r="Y663" s="36"/>
      <c r="Z663" s="36"/>
      <c r="AA663" s="36"/>
      <c r="AB663" s="37"/>
      <c r="AC663" s="56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</row>
    <row r="664" spans="2:47" ht="12.75" hidden="1">
      <c r="B664" s="156" t="s">
        <v>356</v>
      </c>
      <c r="C664" s="157" t="s">
        <v>357</v>
      </c>
      <c r="D664" s="26">
        <v>0</v>
      </c>
      <c r="E664" s="158">
        <v>38718</v>
      </c>
      <c r="F664" s="159">
        <v>38777</v>
      </c>
      <c r="G664" s="10"/>
      <c r="H664" s="91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5">
        <f t="shared" si="117"/>
        <v>0</v>
      </c>
      <c r="V664" s="36"/>
      <c r="W664" s="36"/>
      <c r="X664" s="36"/>
      <c r="Y664" s="36"/>
      <c r="Z664" s="36"/>
      <c r="AA664" s="36"/>
      <c r="AB664" s="37"/>
      <c r="AC664" s="56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</row>
    <row r="665" spans="2:47" ht="12.75" hidden="1">
      <c r="B665" s="156"/>
      <c r="C665" s="157" t="s">
        <v>358</v>
      </c>
      <c r="D665" s="26">
        <v>0</v>
      </c>
      <c r="E665" s="158"/>
      <c r="F665" s="159"/>
      <c r="G665" s="10"/>
      <c r="H665" s="91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v>0</v>
      </c>
      <c r="R665" s="13">
        <v>0</v>
      </c>
      <c r="S665" s="13">
        <v>0</v>
      </c>
      <c r="T665" s="5">
        <f t="shared" si="117"/>
        <v>0</v>
      </c>
      <c r="V665" s="36"/>
      <c r="W665" s="36"/>
      <c r="X665" s="36"/>
      <c r="Y665" s="36"/>
      <c r="Z665" s="36"/>
      <c r="AA665" s="36"/>
      <c r="AB665" s="37"/>
      <c r="AC665" s="56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</row>
    <row r="666" spans="2:47" ht="12.75" hidden="1">
      <c r="B666" s="156" t="s">
        <v>510</v>
      </c>
      <c r="C666" s="157" t="s">
        <v>359</v>
      </c>
      <c r="D666" s="26">
        <v>0.38</v>
      </c>
      <c r="E666" s="158">
        <v>37987</v>
      </c>
      <c r="F666" s="159">
        <v>38353</v>
      </c>
      <c r="G666" s="10">
        <v>0.012</v>
      </c>
      <c r="H666" s="91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0.03142857142857143</v>
      </c>
      <c r="N666" s="13">
        <v>0.03142857142857143</v>
      </c>
      <c r="O666" s="13">
        <v>0.03142857142857143</v>
      </c>
      <c r="P666" s="13">
        <v>0.03142857142857143</v>
      </c>
      <c r="Q666" s="13">
        <v>0.03142857142857143</v>
      </c>
      <c r="R666" s="13">
        <v>0.03142857142857143</v>
      </c>
      <c r="S666" s="13">
        <v>0.03142857142857143</v>
      </c>
      <c r="T666" s="5">
        <f t="shared" si="117"/>
        <v>0.06285714285714286</v>
      </c>
      <c r="V666" s="36"/>
      <c r="W666" s="36"/>
      <c r="X666" s="36"/>
      <c r="Y666" s="36"/>
      <c r="Z666" s="36"/>
      <c r="AA666" s="36"/>
      <c r="AB666" s="37"/>
      <c r="AC666" s="56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</row>
    <row r="667" spans="2:47" ht="12.75" hidden="1">
      <c r="B667" s="156" t="s">
        <v>511</v>
      </c>
      <c r="C667" s="157" t="s">
        <v>360</v>
      </c>
      <c r="D667" s="26">
        <v>0.175</v>
      </c>
      <c r="E667" s="158">
        <v>38322</v>
      </c>
      <c r="F667" s="159">
        <v>38412</v>
      </c>
      <c r="G667" s="10">
        <v>0.004</v>
      </c>
      <c r="H667" s="91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0.025</v>
      </c>
      <c r="N667" s="13">
        <v>0.025</v>
      </c>
      <c r="O667" s="13">
        <v>0.025</v>
      </c>
      <c r="P667" s="13">
        <v>0.025</v>
      </c>
      <c r="Q667" s="13">
        <v>0.025</v>
      </c>
      <c r="R667" s="13">
        <v>0.025</v>
      </c>
      <c r="S667" s="13">
        <v>0.025</v>
      </c>
      <c r="T667" s="5">
        <f t="shared" si="117"/>
        <v>0.05</v>
      </c>
      <c r="V667" s="36"/>
      <c r="W667" s="36"/>
      <c r="X667" s="36"/>
      <c r="Y667" s="36"/>
      <c r="Z667" s="36"/>
      <c r="AA667" s="36"/>
      <c r="AB667" s="37"/>
      <c r="AC667" s="56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</row>
    <row r="668" spans="2:47" ht="12.75" hidden="1">
      <c r="B668" s="156"/>
      <c r="C668" s="157" t="s">
        <v>361</v>
      </c>
      <c r="D668" s="26">
        <v>0</v>
      </c>
      <c r="E668" s="158"/>
      <c r="F668" s="159"/>
      <c r="G668" s="10"/>
      <c r="H668" s="91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5">
        <f t="shared" si="117"/>
        <v>0</v>
      </c>
      <c r="V668" s="36"/>
      <c r="W668" s="36"/>
      <c r="X668" s="36"/>
      <c r="Y668" s="36"/>
      <c r="Z668" s="36"/>
      <c r="AA668" s="36"/>
      <c r="AB668" s="37"/>
      <c r="AC668" s="56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</row>
    <row r="669" spans="2:47" ht="12.75" hidden="1">
      <c r="B669" s="156" t="s">
        <v>512</v>
      </c>
      <c r="C669" s="157" t="s">
        <v>360</v>
      </c>
      <c r="D669" s="26">
        <v>0.31</v>
      </c>
      <c r="E669" s="158">
        <v>38353</v>
      </c>
      <c r="F669" s="159">
        <v>111460</v>
      </c>
      <c r="G669" s="10">
        <v>0.005</v>
      </c>
      <c r="H669" s="91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0.04428571428571428</v>
      </c>
      <c r="N669" s="13">
        <v>0.04428571428571428</v>
      </c>
      <c r="O669" s="13">
        <v>0.04428571428571428</v>
      </c>
      <c r="P669" s="13">
        <v>0.04428571428571428</v>
      </c>
      <c r="Q669" s="13">
        <v>0.04428571428571428</v>
      </c>
      <c r="R669" s="13">
        <v>0.04428571428571428</v>
      </c>
      <c r="S669" s="13">
        <v>0.04428571428571428</v>
      </c>
      <c r="T669" s="5">
        <f t="shared" si="117"/>
        <v>0.08857142857142856</v>
      </c>
      <c r="V669" s="36"/>
      <c r="W669" s="36"/>
      <c r="X669" s="36"/>
      <c r="Y669" s="36"/>
      <c r="Z669" s="36"/>
      <c r="AA669" s="36"/>
      <c r="AB669" s="37"/>
      <c r="AC669" s="56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</row>
    <row r="670" spans="2:47" ht="12.75" hidden="1">
      <c r="B670" s="156"/>
      <c r="C670" s="157" t="s">
        <v>362</v>
      </c>
      <c r="D670" s="26">
        <v>0</v>
      </c>
      <c r="E670" s="158"/>
      <c r="F670" s="159"/>
      <c r="G670" s="10"/>
      <c r="H670" s="91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5">
        <f t="shared" si="117"/>
        <v>0</v>
      </c>
      <c r="V670" s="36"/>
      <c r="W670" s="36"/>
      <c r="X670" s="36"/>
      <c r="Y670" s="36"/>
      <c r="Z670" s="36"/>
      <c r="AA670" s="36"/>
      <c r="AB670" s="37"/>
      <c r="AC670" s="56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</row>
    <row r="671" spans="2:47" ht="12.75" hidden="1">
      <c r="B671" s="156" t="s">
        <v>513</v>
      </c>
      <c r="C671" s="157" t="s">
        <v>363</v>
      </c>
      <c r="D671" s="26">
        <v>0</v>
      </c>
      <c r="E671" s="158">
        <v>38353</v>
      </c>
      <c r="F671" s="159">
        <v>38443</v>
      </c>
      <c r="G671" s="10">
        <v>0.003</v>
      </c>
      <c r="H671" s="91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5">
        <f t="shared" si="117"/>
        <v>0</v>
      </c>
      <c r="V671" s="36"/>
      <c r="W671" s="36"/>
      <c r="X671" s="36"/>
      <c r="Y671" s="36"/>
      <c r="Z671" s="36"/>
      <c r="AA671" s="36"/>
      <c r="AB671" s="37"/>
      <c r="AC671" s="56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</row>
    <row r="672" spans="2:47" ht="12.75" hidden="1">
      <c r="B672" s="156"/>
      <c r="C672" s="157" t="s">
        <v>364</v>
      </c>
      <c r="D672" s="26">
        <v>0.35</v>
      </c>
      <c r="E672" s="158"/>
      <c r="F672" s="159"/>
      <c r="G672" s="10"/>
      <c r="H672" s="91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0.05</v>
      </c>
      <c r="N672" s="13">
        <v>0.05</v>
      </c>
      <c r="O672" s="13">
        <v>0.05</v>
      </c>
      <c r="P672" s="13">
        <v>0.05</v>
      </c>
      <c r="Q672" s="13">
        <v>0.05</v>
      </c>
      <c r="R672" s="13">
        <v>0.05</v>
      </c>
      <c r="S672" s="13">
        <v>0.05</v>
      </c>
      <c r="T672" s="5">
        <f t="shared" si="117"/>
        <v>0.1</v>
      </c>
      <c r="V672" s="36"/>
      <c r="W672" s="36"/>
      <c r="X672" s="36"/>
      <c r="Y672" s="36"/>
      <c r="Z672" s="36"/>
      <c r="AA672" s="36"/>
      <c r="AB672" s="37"/>
      <c r="AC672" s="56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</row>
    <row r="673" spans="2:47" ht="12.75">
      <c r="B673" s="252" t="s">
        <v>1460</v>
      </c>
      <c r="C673" s="103" t="s">
        <v>1367</v>
      </c>
      <c r="D673" s="104">
        <f>SUM(D653:D672)</f>
        <v>1.8639999999999999</v>
      </c>
      <c r="E673" s="158">
        <v>38078</v>
      </c>
      <c r="F673" s="159">
        <v>38412</v>
      </c>
      <c r="G673" s="104">
        <f>SUM(G653:G672)</f>
        <v>0.19500000000000003</v>
      </c>
      <c r="H673" s="226">
        <f>SUM(H653:H672)</f>
        <v>0.017</v>
      </c>
      <c r="I673" s="227">
        <f>SUM(I653:I672)</f>
        <v>0</v>
      </c>
      <c r="J673" s="227">
        <f>SUM(J653:J672)</f>
        <v>0</v>
      </c>
      <c r="K673" s="227">
        <f aca="true" t="shared" si="118" ref="K673:S673">SUM(K653:K672)</f>
        <v>0</v>
      </c>
      <c r="L673" s="227">
        <f t="shared" si="118"/>
        <v>0</v>
      </c>
      <c r="M673" s="227">
        <f t="shared" si="118"/>
        <v>0.272</v>
      </c>
      <c r="N673" s="227">
        <f t="shared" si="118"/>
        <v>0.272</v>
      </c>
      <c r="O673" s="227">
        <f t="shared" si="118"/>
        <v>0.272</v>
      </c>
      <c r="P673" s="227">
        <f t="shared" si="118"/>
        <v>0.272</v>
      </c>
      <c r="Q673" s="227">
        <f t="shared" si="118"/>
        <v>0.272</v>
      </c>
      <c r="R673" s="227">
        <f t="shared" si="118"/>
        <v>0.272</v>
      </c>
      <c r="S673" s="227">
        <f t="shared" si="118"/>
        <v>0.272</v>
      </c>
      <c r="T673" s="104">
        <f>SUM(T653:T672)</f>
        <v>0.5609999999999999</v>
      </c>
      <c r="V673" s="225">
        <f>SUM(V653:V672)</f>
        <v>0</v>
      </c>
      <c r="W673" s="225">
        <f aca="true" t="shared" si="119" ref="W673:AC673">SUM(W653:W672)</f>
        <v>0</v>
      </c>
      <c r="X673" s="225">
        <f t="shared" si="119"/>
        <v>0</v>
      </c>
      <c r="Y673" s="225">
        <f t="shared" si="119"/>
        <v>0</v>
      </c>
      <c r="Z673" s="225">
        <f t="shared" si="119"/>
        <v>0</v>
      </c>
      <c r="AA673" s="225">
        <f t="shared" si="119"/>
        <v>0</v>
      </c>
      <c r="AB673" s="225">
        <f t="shared" si="119"/>
        <v>0</v>
      </c>
      <c r="AC673" s="225">
        <f t="shared" si="119"/>
        <v>0</v>
      </c>
      <c r="AE673" s="225">
        <f aca="true" t="shared" si="120" ref="AE673:AU673">SUM(AE653:AE672)</f>
        <v>0</v>
      </c>
      <c r="AF673" s="225">
        <f t="shared" si="120"/>
        <v>0</v>
      </c>
      <c r="AG673" s="225">
        <f t="shared" si="120"/>
        <v>0</v>
      </c>
      <c r="AH673" s="225">
        <f t="shared" si="120"/>
        <v>0</v>
      </c>
      <c r="AI673" s="225">
        <f t="shared" si="120"/>
        <v>0</v>
      </c>
      <c r="AJ673" s="225">
        <f t="shared" si="120"/>
        <v>0</v>
      </c>
      <c r="AK673" s="225">
        <f t="shared" si="120"/>
        <v>0</v>
      </c>
      <c r="AL673" s="225">
        <f t="shared" si="120"/>
        <v>0</v>
      </c>
      <c r="AM673" s="225">
        <f t="shared" si="120"/>
        <v>0</v>
      </c>
      <c r="AN673" s="225">
        <f t="shared" si="120"/>
        <v>0</v>
      </c>
      <c r="AO673" s="225">
        <f t="shared" si="120"/>
        <v>0</v>
      </c>
      <c r="AP673" s="225">
        <f t="shared" si="120"/>
        <v>0</v>
      </c>
      <c r="AQ673" s="225">
        <f t="shared" si="120"/>
        <v>0</v>
      </c>
      <c r="AR673" s="225">
        <f t="shared" si="120"/>
        <v>0</v>
      </c>
      <c r="AS673" s="225">
        <f t="shared" si="120"/>
        <v>0</v>
      </c>
      <c r="AT673" s="225">
        <f t="shared" si="120"/>
        <v>0</v>
      </c>
      <c r="AU673" s="225">
        <f t="shared" si="120"/>
        <v>0</v>
      </c>
    </row>
    <row r="674" spans="3:47" ht="6" customHeight="1" hidden="1">
      <c r="C674" s="5"/>
      <c r="D674" s="10"/>
      <c r="E674" s="180"/>
      <c r="F674" s="181"/>
      <c r="G674" s="10"/>
      <c r="H674" s="91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95"/>
      <c r="T674" s="94"/>
      <c r="V674" s="36"/>
      <c r="W674" s="36"/>
      <c r="X674" s="36"/>
      <c r="Y674" s="36"/>
      <c r="Z674" s="36"/>
      <c r="AA674" s="36"/>
      <c r="AB674" s="37"/>
      <c r="AC674" s="56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</row>
    <row r="675" spans="2:47" ht="14.25" customHeight="1" hidden="1">
      <c r="B675" s="156" t="s">
        <v>365</v>
      </c>
      <c r="C675" s="157" t="s">
        <v>366</v>
      </c>
      <c r="D675" s="26">
        <v>0</v>
      </c>
      <c r="E675" s="158">
        <v>35916</v>
      </c>
      <c r="F675" s="159">
        <v>36220</v>
      </c>
      <c r="G675" s="10"/>
      <c r="H675" s="91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5">
        <f>SUM(H675:N675)</f>
        <v>0</v>
      </c>
      <c r="V675" s="36"/>
      <c r="W675" s="36"/>
      <c r="X675" s="36"/>
      <c r="Y675" s="36"/>
      <c r="Z675" s="36"/>
      <c r="AA675" s="36"/>
      <c r="AB675" s="37"/>
      <c r="AC675" s="56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</row>
    <row r="676" spans="2:47" ht="13.5" customHeight="1" hidden="1">
      <c r="B676" s="156" t="s">
        <v>367</v>
      </c>
      <c r="C676" s="157" t="s">
        <v>368</v>
      </c>
      <c r="D676" s="26">
        <v>0.003</v>
      </c>
      <c r="E676" s="158">
        <v>36526</v>
      </c>
      <c r="F676" s="159">
        <v>36678</v>
      </c>
      <c r="G676" s="10">
        <v>0.003</v>
      </c>
      <c r="H676" s="91">
        <v>0.00016666666666666666</v>
      </c>
      <c r="I676" s="13">
        <v>0.00016666666666666666</v>
      </c>
      <c r="J676" s="13">
        <v>0.00016666666666666666</v>
      </c>
      <c r="K676" s="13">
        <v>0.00016666666666666666</v>
      </c>
      <c r="L676" s="13">
        <v>0.00016666666666666666</v>
      </c>
      <c r="M676" s="13">
        <v>0.00016666666666666666</v>
      </c>
      <c r="N676" s="13">
        <v>0.00016666666666666666</v>
      </c>
      <c r="O676" s="13">
        <v>0.00016666666666666666</v>
      </c>
      <c r="P676" s="13">
        <v>0.00016666666666666666</v>
      </c>
      <c r="Q676" s="13">
        <v>0.00016666666666666666</v>
      </c>
      <c r="R676" s="13">
        <v>0.00016666666666666666</v>
      </c>
      <c r="S676" s="13">
        <v>0.00016666666666666666</v>
      </c>
      <c r="T676" s="5">
        <f>SUM(H676:N676)</f>
        <v>0.0011666666666666668</v>
      </c>
      <c r="V676" s="36"/>
      <c r="W676" s="36"/>
      <c r="X676" s="36"/>
      <c r="Y676" s="36"/>
      <c r="Z676" s="36"/>
      <c r="AA676" s="36"/>
      <c r="AB676" s="37"/>
      <c r="AC676" s="56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</row>
    <row r="677" spans="2:47" ht="12.75" hidden="1">
      <c r="B677" s="33" t="s">
        <v>1641</v>
      </c>
      <c r="C677" s="5" t="s">
        <v>1642</v>
      </c>
      <c r="D677" s="10">
        <v>0.32</v>
      </c>
      <c r="E677" s="180">
        <v>37926</v>
      </c>
      <c r="F677" s="181">
        <v>38322</v>
      </c>
      <c r="G677" s="10">
        <v>0.121</v>
      </c>
      <c r="H677" s="91">
        <v>0.101</v>
      </c>
      <c r="I677" s="13">
        <v>0</v>
      </c>
      <c r="J677" s="13">
        <v>0</v>
      </c>
      <c r="K677" s="13">
        <v>0</v>
      </c>
      <c r="L677" s="13">
        <v>0</v>
      </c>
      <c r="M677" s="13">
        <v>0.01842857142857143</v>
      </c>
      <c r="N677" s="13">
        <v>0.01842857142857143</v>
      </c>
      <c r="O677" s="13">
        <v>0.01842857142857143</v>
      </c>
      <c r="P677" s="13">
        <v>0.01842857142857143</v>
      </c>
      <c r="Q677" s="13">
        <v>0.01842857142857143</v>
      </c>
      <c r="R677" s="13">
        <v>0.01842857142857143</v>
      </c>
      <c r="S677" s="13">
        <v>0.01842857142857143</v>
      </c>
      <c r="T677" s="5">
        <f>SUM(H677:N677)</f>
        <v>0.13785714285714287</v>
      </c>
      <c r="V677" s="36"/>
      <c r="W677" s="36"/>
      <c r="X677" s="36"/>
      <c r="Y677" s="36"/>
      <c r="Z677" s="36"/>
      <c r="AA677" s="36"/>
      <c r="AB677" s="37"/>
      <c r="AC677" s="56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</row>
    <row r="678" spans="2:47" ht="12.75" hidden="1">
      <c r="B678" s="156" t="s">
        <v>383</v>
      </c>
      <c r="C678" s="157" t="s">
        <v>384</v>
      </c>
      <c r="D678" s="26">
        <v>0.01</v>
      </c>
      <c r="E678" s="158">
        <v>38292</v>
      </c>
      <c r="F678" s="159">
        <v>38322</v>
      </c>
      <c r="G678" s="10">
        <v>0.001</v>
      </c>
      <c r="H678" s="91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0.0014285714285714286</v>
      </c>
      <c r="N678" s="13">
        <v>0.0014285714285714286</v>
      </c>
      <c r="O678" s="13">
        <v>0.0014285714285714286</v>
      </c>
      <c r="P678" s="13">
        <v>0.0014285714285714286</v>
      </c>
      <c r="Q678" s="13">
        <v>0.0014285714285714286</v>
      </c>
      <c r="R678" s="13">
        <v>0.0014285714285714286</v>
      </c>
      <c r="S678" s="13">
        <v>0.0014285714285714286</v>
      </c>
      <c r="T678" s="5">
        <f>SUM(H678:N678)</f>
        <v>0.002857142857142857</v>
      </c>
      <c r="V678" s="36"/>
      <c r="W678" s="36"/>
      <c r="X678" s="36"/>
      <c r="Y678" s="36"/>
      <c r="Z678" s="36"/>
      <c r="AA678" s="36"/>
      <c r="AB678" s="37"/>
      <c r="AC678" s="56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</row>
    <row r="679" spans="2:47" ht="12.75" hidden="1">
      <c r="B679" s="156"/>
      <c r="C679" s="157" t="s">
        <v>1255</v>
      </c>
      <c r="D679" s="26" t="s">
        <v>645</v>
      </c>
      <c r="E679" s="158"/>
      <c r="F679" s="159"/>
      <c r="G679" s="10"/>
      <c r="H679" s="91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0.0071428571428571435</v>
      </c>
      <c r="N679" s="13">
        <v>0.0071428571428571435</v>
      </c>
      <c r="O679" s="13">
        <v>0.0071428571428571435</v>
      </c>
      <c r="P679" s="13">
        <v>0.0071428571428571435</v>
      </c>
      <c r="Q679" s="13">
        <v>0.0071428571428571435</v>
      </c>
      <c r="R679" s="13">
        <v>0.0071428571428571435</v>
      </c>
      <c r="S679" s="13">
        <v>0.0071428571428571435</v>
      </c>
      <c r="T679" s="5"/>
      <c r="V679" s="36"/>
      <c r="W679" s="36"/>
      <c r="X679" s="36"/>
      <c r="Y679" s="36"/>
      <c r="Z679" s="36"/>
      <c r="AA679" s="36"/>
      <c r="AB679" s="37"/>
      <c r="AC679" s="56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56"/>
      <c r="AU679" s="37"/>
    </row>
    <row r="680" spans="2:47" ht="12.75">
      <c r="B680" s="252" t="s">
        <v>1460</v>
      </c>
      <c r="C680" s="103" t="s">
        <v>1385</v>
      </c>
      <c r="D680" s="104">
        <f>SUM(D675:D679)</f>
        <v>0.333</v>
      </c>
      <c r="E680" s="180"/>
      <c r="F680" s="181"/>
      <c r="G680" s="104">
        <f>SUM(G675:G679)</f>
        <v>0.125</v>
      </c>
      <c r="H680" s="226">
        <f>SUM(H675:H679)</f>
        <v>0.10116666666666667</v>
      </c>
      <c r="I680" s="227">
        <f>SUM(I675:I679)</f>
        <v>0.00016666666666666666</v>
      </c>
      <c r="J680" s="227">
        <f>SUM(J675:J679)</f>
        <v>0.00016666666666666666</v>
      </c>
      <c r="K680" s="227">
        <f aca="true" t="shared" si="121" ref="K680:S680">SUM(K675:K679)</f>
        <v>0.00016666666666666666</v>
      </c>
      <c r="L680" s="227">
        <f t="shared" si="121"/>
        <v>0.00016666666666666666</v>
      </c>
      <c r="M680" s="227">
        <f t="shared" si="121"/>
        <v>0.027166666666666665</v>
      </c>
      <c r="N680" s="227">
        <f t="shared" si="121"/>
        <v>0.027166666666666665</v>
      </c>
      <c r="O680" s="227">
        <f t="shared" si="121"/>
        <v>0.027166666666666665</v>
      </c>
      <c r="P680" s="227">
        <f t="shared" si="121"/>
        <v>0.027166666666666665</v>
      </c>
      <c r="Q680" s="227">
        <f t="shared" si="121"/>
        <v>0.027166666666666665</v>
      </c>
      <c r="R680" s="227">
        <f t="shared" si="121"/>
        <v>0.027166666666666665</v>
      </c>
      <c r="S680" s="227">
        <f t="shared" si="121"/>
        <v>0.027166666666666665</v>
      </c>
      <c r="T680" s="104">
        <f>SUM(T675:T679)</f>
        <v>0.1418809523809524</v>
      </c>
      <c r="V680" s="225">
        <f aca="true" t="shared" si="122" ref="V680:AC680">SUM(V675:V679)</f>
        <v>0</v>
      </c>
      <c r="W680" s="225">
        <f t="shared" si="122"/>
        <v>0</v>
      </c>
      <c r="X680" s="225">
        <f t="shared" si="122"/>
        <v>0</v>
      </c>
      <c r="Y680" s="225">
        <f t="shared" si="122"/>
        <v>0</v>
      </c>
      <c r="Z680" s="225">
        <f t="shared" si="122"/>
        <v>0</v>
      </c>
      <c r="AA680" s="225">
        <f t="shared" si="122"/>
        <v>0</v>
      </c>
      <c r="AB680" s="225">
        <f t="shared" si="122"/>
        <v>0</v>
      </c>
      <c r="AC680" s="225">
        <f t="shared" si="122"/>
        <v>0</v>
      </c>
      <c r="AE680" s="225">
        <f aca="true" t="shared" si="123" ref="AE680:AU680">SUM(AE675:AE679)</f>
        <v>0</v>
      </c>
      <c r="AF680" s="225">
        <f t="shared" si="123"/>
        <v>0</v>
      </c>
      <c r="AG680" s="225">
        <f t="shared" si="123"/>
        <v>0</v>
      </c>
      <c r="AH680" s="225">
        <f t="shared" si="123"/>
        <v>0</v>
      </c>
      <c r="AI680" s="225">
        <f t="shared" si="123"/>
        <v>0</v>
      </c>
      <c r="AJ680" s="225">
        <f t="shared" si="123"/>
        <v>0</v>
      </c>
      <c r="AK680" s="225">
        <f t="shared" si="123"/>
        <v>0</v>
      </c>
      <c r="AL680" s="225">
        <f t="shared" si="123"/>
        <v>0</v>
      </c>
      <c r="AM680" s="225">
        <f t="shared" si="123"/>
        <v>0</v>
      </c>
      <c r="AN680" s="225">
        <f t="shared" si="123"/>
        <v>0</v>
      </c>
      <c r="AO680" s="225">
        <f t="shared" si="123"/>
        <v>0</v>
      </c>
      <c r="AP680" s="225">
        <f t="shared" si="123"/>
        <v>0</v>
      </c>
      <c r="AQ680" s="225">
        <f t="shared" si="123"/>
        <v>0</v>
      </c>
      <c r="AR680" s="225">
        <f t="shared" si="123"/>
        <v>0</v>
      </c>
      <c r="AS680" s="225">
        <f t="shared" si="123"/>
        <v>0</v>
      </c>
      <c r="AT680" s="225">
        <f t="shared" si="123"/>
        <v>0</v>
      </c>
      <c r="AU680" s="225">
        <f t="shared" si="123"/>
        <v>0</v>
      </c>
    </row>
    <row r="681" spans="3:47" ht="6" customHeight="1">
      <c r="C681" s="5"/>
      <c r="D681" s="10"/>
      <c r="E681" s="180"/>
      <c r="F681" s="181"/>
      <c r="G681" s="10"/>
      <c r="H681" s="91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95"/>
      <c r="T681" s="94"/>
      <c r="V681" s="36"/>
      <c r="W681" s="36"/>
      <c r="X681" s="36"/>
      <c r="Y681" s="36"/>
      <c r="Z681" s="36"/>
      <c r="AA681" s="36"/>
      <c r="AB681" s="37"/>
      <c r="AC681" s="56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U681" s="37"/>
    </row>
    <row r="682" spans="2:47" ht="12" customHeight="1" hidden="1">
      <c r="B682" s="156" t="s">
        <v>385</v>
      </c>
      <c r="C682" s="157" t="s">
        <v>386</v>
      </c>
      <c r="D682" s="26">
        <v>0</v>
      </c>
      <c r="E682" s="158">
        <v>38596</v>
      </c>
      <c r="F682" s="159">
        <v>38657</v>
      </c>
      <c r="G682" s="10"/>
      <c r="H682" s="91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5">
        <f>SUM(H682:N682)</f>
        <v>0</v>
      </c>
      <c r="V682" s="36"/>
      <c r="W682" s="36"/>
      <c r="X682" s="36"/>
      <c r="Y682" s="36"/>
      <c r="Z682" s="36"/>
      <c r="AA682" s="36"/>
      <c r="AB682" s="37"/>
      <c r="AC682" s="56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U682" s="37"/>
    </row>
    <row r="683" spans="2:47" ht="12" customHeight="1" hidden="1">
      <c r="B683" s="156" t="s">
        <v>387</v>
      </c>
      <c r="C683" s="157" t="s">
        <v>388</v>
      </c>
      <c r="D683" s="26">
        <v>0.05</v>
      </c>
      <c r="E683" s="158">
        <v>38292</v>
      </c>
      <c r="F683" s="159">
        <v>38353</v>
      </c>
      <c r="G683" s="10">
        <v>0.005</v>
      </c>
      <c r="H683" s="91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0.017714285714285714</v>
      </c>
      <c r="N683" s="13">
        <v>0.017714285714285714</v>
      </c>
      <c r="O683" s="13">
        <v>0.017714285714285714</v>
      </c>
      <c r="P683" s="13">
        <v>0.017714285714285714</v>
      </c>
      <c r="Q683" s="13">
        <v>0.017714285714285714</v>
      </c>
      <c r="R683" s="13">
        <v>0.017714285714285714</v>
      </c>
      <c r="S683" s="13">
        <v>0.017714285714285714</v>
      </c>
      <c r="T683" s="5">
        <f>SUM(H683:N683)</f>
        <v>0.03542857142857143</v>
      </c>
      <c r="V683" s="36"/>
      <c r="W683" s="36"/>
      <c r="X683" s="36"/>
      <c r="Y683" s="36"/>
      <c r="Z683" s="36"/>
      <c r="AA683" s="36"/>
      <c r="AB683" s="37"/>
      <c r="AC683" s="56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U683" s="37"/>
    </row>
    <row r="684" spans="2:47" ht="12" customHeight="1" hidden="1">
      <c r="B684" s="156" t="s">
        <v>389</v>
      </c>
      <c r="C684" s="157" t="s">
        <v>390</v>
      </c>
      <c r="D684" s="26">
        <v>0.02</v>
      </c>
      <c r="E684" s="158">
        <v>38231</v>
      </c>
      <c r="F684" s="159">
        <v>38412</v>
      </c>
      <c r="G684" s="10">
        <v>0.002</v>
      </c>
      <c r="H684" s="91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0.002857142857142857</v>
      </c>
      <c r="N684" s="13">
        <v>0.002857142857142857</v>
      </c>
      <c r="O684" s="13">
        <v>0.002857142857142857</v>
      </c>
      <c r="P684" s="13">
        <v>0.002857142857142857</v>
      </c>
      <c r="Q684" s="13">
        <v>0.002857142857142857</v>
      </c>
      <c r="R684" s="13">
        <v>0.002857142857142857</v>
      </c>
      <c r="S684" s="13">
        <v>0.002857142857142857</v>
      </c>
      <c r="T684" s="5">
        <f>SUM(H684:N684)</f>
        <v>0.005714285714285714</v>
      </c>
      <c r="V684" s="36"/>
      <c r="W684" s="36"/>
      <c r="X684" s="36"/>
      <c r="Y684" s="36"/>
      <c r="Z684" s="36"/>
      <c r="AA684" s="36"/>
      <c r="AB684" s="37"/>
      <c r="AC684" s="56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U684" s="37"/>
    </row>
    <row r="685" spans="2:47" ht="12" customHeight="1" hidden="1">
      <c r="B685" s="156" t="s">
        <v>391</v>
      </c>
      <c r="C685" s="157" t="s">
        <v>392</v>
      </c>
      <c r="D685" s="26">
        <v>0.03</v>
      </c>
      <c r="E685" s="158">
        <v>38353</v>
      </c>
      <c r="F685" s="159">
        <v>38412</v>
      </c>
      <c r="G685" s="10">
        <v>0.001</v>
      </c>
      <c r="H685" s="91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0.014285714285714287</v>
      </c>
      <c r="N685" s="13">
        <v>0.014285714285714287</v>
      </c>
      <c r="O685" s="13">
        <v>0.014285714285714287</v>
      </c>
      <c r="P685" s="13">
        <v>0.014285714285714287</v>
      </c>
      <c r="Q685" s="13">
        <v>0.014285714285714287</v>
      </c>
      <c r="R685" s="13">
        <v>0.014285714285714287</v>
      </c>
      <c r="S685" s="13">
        <v>0.014285714285714287</v>
      </c>
      <c r="T685" s="5">
        <f>SUM(H685:N685)</f>
        <v>0.028571428571428574</v>
      </c>
      <c r="V685" s="36"/>
      <c r="W685" s="36"/>
      <c r="X685" s="36"/>
      <c r="Y685" s="36"/>
      <c r="Z685" s="36"/>
      <c r="AA685" s="36"/>
      <c r="AB685" s="37"/>
      <c r="AC685" s="56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U685" s="37"/>
    </row>
    <row r="686" spans="2:47" ht="12" customHeight="1" hidden="1">
      <c r="B686" s="156" t="s">
        <v>514</v>
      </c>
      <c r="C686" s="157" t="s">
        <v>393</v>
      </c>
      <c r="D686" s="26">
        <v>0.02</v>
      </c>
      <c r="E686" s="158">
        <v>38353</v>
      </c>
      <c r="F686" s="159">
        <v>38412</v>
      </c>
      <c r="G686" s="10"/>
      <c r="H686" s="91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0.0035714285714285718</v>
      </c>
      <c r="N686" s="13">
        <v>0.0035714285714285718</v>
      </c>
      <c r="O686" s="13">
        <v>0.0035714285714285718</v>
      </c>
      <c r="P686" s="13">
        <v>0.0035714285714285718</v>
      </c>
      <c r="Q686" s="13">
        <v>0.0035714285714285718</v>
      </c>
      <c r="R686" s="13">
        <v>0.0035714285714285718</v>
      </c>
      <c r="S686" s="13">
        <v>0.0035714285714285718</v>
      </c>
      <c r="T686" s="5">
        <f>SUM(H686:N686)</f>
        <v>0.0071428571428571435</v>
      </c>
      <c r="V686" s="36"/>
      <c r="W686" s="36"/>
      <c r="X686" s="36"/>
      <c r="Y686" s="36"/>
      <c r="Z686" s="36"/>
      <c r="AA686" s="36"/>
      <c r="AB686" s="37"/>
      <c r="AC686" s="56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U686" s="37"/>
    </row>
    <row r="687" spans="2:47" ht="12.75">
      <c r="B687" s="252" t="s">
        <v>1460</v>
      </c>
      <c r="C687" s="103" t="s">
        <v>1386</v>
      </c>
      <c r="D687" s="104">
        <f>SUM(D682:D686)</f>
        <v>0.12000000000000001</v>
      </c>
      <c r="E687" s="158">
        <v>38078</v>
      </c>
      <c r="F687" s="159">
        <v>38412</v>
      </c>
      <c r="G687" s="104">
        <f>SUM(G682:G686)</f>
        <v>0.008</v>
      </c>
      <c r="H687" s="226">
        <f>SUM(H682:H686)</f>
        <v>0</v>
      </c>
      <c r="I687" s="227">
        <f>SUM(I682:I686)</f>
        <v>0</v>
      </c>
      <c r="J687" s="227">
        <f>SUM(J682:J686)</f>
        <v>0</v>
      </c>
      <c r="K687" s="227">
        <f aca="true" t="shared" si="124" ref="K687:S687">SUM(K682:K686)</f>
        <v>0</v>
      </c>
      <c r="L687" s="227">
        <f t="shared" si="124"/>
        <v>0</v>
      </c>
      <c r="M687" s="227">
        <f t="shared" si="124"/>
        <v>0.03842857142857143</v>
      </c>
      <c r="N687" s="227">
        <f t="shared" si="124"/>
        <v>0.03842857142857143</v>
      </c>
      <c r="O687" s="227">
        <f t="shared" si="124"/>
        <v>0.03842857142857143</v>
      </c>
      <c r="P687" s="227">
        <f t="shared" si="124"/>
        <v>0.03842857142857143</v>
      </c>
      <c r="Q687" s="227">
        <f t="shared" si="124"/>
        <v>0.03842857142857143</v>
      </c>
      <c r="R687" s="227">
        <f t="shared" si="124"/>
        <v>0.03842857142857143</v>
      </c>
      <c r="S687" s="227">
        <f t="shared" si="124"/>
        <v>0.03842857142857143</v>
      </c>
      <c r="T687" s="104">
        <f>SUM(T682:T686)</f>
        <v>0.07685714285714286</v>
      </c>
      <c r="V687" s="225">
        <f aca="true" t="shared" si="125" ref="V687:AC687">SUM(V682:V686)</f>
        <v>0</v>
      </c>
      <c r="W687" s="225">
        <f t="shared" si="125"/>
        <v>0</v>
      </c>
      <c r="X687" s="225">
        <f t="shared" si="125"/>
        <v>0</v>
      </c>
      <c r="Y687" s="225">
        <f t="shared" si="125"/>
        <v>0</v>
      </c>
      <c r="Z687" s="225">
        <f t="shared" si="125"/>
        <v>0</v>
      </c>
      <c r="AA687" s="225">
        <f t="shared" si="125"/>
        <v>0</v>
      </c>
      <c r="AB687" s="225">
        <f t="shared" si="125"/>
        <v>0</v>
      </c>
      <c r="AC687" s="225">
        <f t="shared" si="125"/>
        <v>0</v>
      </c>
      <c r="AE687" s="225">
        <f aca="true" t="shared" si="126" ref="AE687:AU687">SUM(AE682:AE686)</f>
        <v>0</v>
      </c>
      <c r="AF687" s="225">
        <f t="shared" si="126"/>
        <v>0</v>
      </c>
      <c r="AG687" s="225">
        <f t="shared" si="126"/>
        <v>0</v>
      </c>
      <c r="AH687" s="225">
        <f t="shared" si="126"/>
        <v>0</v>
      </c>
      <c r="AI687" s="225">
        <f t="shared" si="126"/>
        <v>0</v>
      </c>
      <c r="AJ687" s="225">
        <f t="shared" si="126"/>
        <v>0</v>
      </c>
      <c r="AK687" s="225">
        <f t="shared" si="126"/>
        <v>0</v>
      </c>
      <c r="AL687" s="225">
        <f t="shared" si="126"/>
        <v>0</v>
      </c>
      <c r="AM687" s="225">
        <f t="shared" si="126"/>
        <v>0</v>
      </c>
      <c r="AN687" s="225">
        <f t="shared" si="126"/>
        <v>0</v>
      </c>
      <c r="AO687" s="225">
        <f t="shared" si="126"/>
        <v>0</v>
      </c>
      <c r="AP687" s="225">
        <f t="shared" si="126"/>
        <v>0</v>
      </c>
      <c r="AQ687" s="225">
        <f t="shared" si="126"/>
        <v>0</v>
      </c>
      <c r="AR687" s="225">
        <f t="shared" si="126"/>
        <v>0</v>
      </c>
      <c r="AS687" s="225">
        <f t="shared" si="126"/>
        <v>0</v>
      </c>
      <c r="AT687" s="225">
        <f t="shared" si="126"/>
        <v>0</v>
      </c>
      <c r="AU687" s="225">
        <f t="shared" si="126"/>
        <v>0</v>
      </c>
    </row>
    <row r="688" spans="3:47" ht="6" customHeight="1" hidden="1">
      <c r="C688" s="5"/>
      <c r="D688" s="10"/>
      <c r="E688" s="180"/>
      <c r="F688" s="181"/>
      <c r="G688" s="10"/>
      <c r="H688" s="89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96"/>
      <c r="T688" s="94"/>
      <c r="V688" s="36"/>
      <c r="W688" s="36"/>
      <c r="X688" s="36"/>
      <c r="Y688" s="36"/>
      <c r="Z688" s="36"/>
      <c r="AA688" s="36"/>
      <c r="AB688" s="36"/>
      <c r="AC688" s="5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6"/>
      <c r="AU688" s="37"/>
    </row>
    <row r="689" spans="2:48" ht="13.5" customHeight="1">
      <c r="B689" s="255" t="s">
        <v>1259</v>
      </c>
      <c r="C689" s="5" t="s">
        <v>1272</v>
      </c>
      <c r="D689" s="10">
        <v>1</v>
      </c>
      <c r="E689" s="180"/>
      <c r="F689" s="181"/>
      <c r="G689" s="10"/>
      <c r="H689" s="89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5">
        <f>SUM(H689:N689)</f>
        <v>0</v>
      </c>
      <c r="V689" s="36"/>
      <c r="W689" s="36"/>
      <c r="X689" s="36">
        <v>1</v>
      </c>
      <c r="Y689" s="36"/>
      <c r="Z689" s="36"/>
      <c r="AA689" s="36">
        <f>SUM(AE689:AT689)</f>
        <v>0</v>
      </c>
      <c r="AB689" s="37"/>
      <c r="AC689" s="56">
        <f>SUM(V689:AB689)</f>
        <v>1</v>
      </c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6"/>
      <c r="AU689" s="37">
        <f>SUM(AE689:AT689)</f>
        <v>0</v>
      </c>
      <c r="AV689" s="33" t="s">
        <v>1258</v>
      </c>
    </row>
    <row r="690" spans="1:47" ht="12.75">
      <c r="A690" s="252" t="s">
        <v>1460</v>
      </c>
      <c r="B690" s="255" t="s">
        <v>1134</v>
      </c>
      <c r="C690" s="5" t="s">
        <v>1451</v>
      </c>
      <c r="D690" s="10">
        <v>0.25</v>
      </c>
      <c r="E690" s="180"/>
      <c r="F690" s="181"/>
      <c r="G690" s="243"/>
      <c r="H690" s="91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0.07142857142857142</v>
      </c>
      <c r="N690" s="13">
        <v>0.07142857142857142</v>
      </c>
      <c r="O690" s="13">
        <v>0.07142857142857142</v>
      </c>
      <c r="P690" s="13">
        <v>0.07142857142857142</v>
      </c>
      <c r="Q690" s="13">
        <v>0.07142857142857142</v>
      </c>
      <c r="R690" s="13">
        <v>0.07142857142857142</v>
      </c>
      <c r="S690" s="13">
        <v>0.07142857142857142</v>
      </c>
      <c r="T690" s="5">
        <f>SUM(H690:N690)</f>
        <v>0.14285714285714285</v>
      </c>
      <c r="V690" s="36"/>
      <c r="W690" s="36"/>
      <c r="X690" s="36"/>
      <c r="Y690" s="36"/>
      <c r="Z690" s="36">
        <v>0.25</v>
      </c>
      <c r="AA690" s="36"/>
      <c r="AB690" s="36"/>
      <c r="AC690" s="56">
        <f>SUM(V690:AB690)</f>
        <v>0.25</v>
      </c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6"/>
      <c r="AU690" s="37"/>
    </row>
    <row r="691" spans="1:48" ht="13.5" thickBot="1">
      <c r="A691" s="255" t="s">
        <v>126</v>
      </c>
      <c r="C691" s="5" t="s">
        <v>1001</v>
      </c>
      <c r="D691" s="10">
        <f>0.159-0.391</f>
        <v>-0.232</v>
      </c>
      <c r="E691" s="180"/>
      <c r="F691" s="181"/>
      <c r="G691" s="10"/>
      <c r="H691" s="91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95">
        <f>D691</f>
        <v>-0.232</v>
      </c>
      <c r="T691" s="94">
        <f>SUM(H691:S691)</f>
        <v>-0.232</v>
      </c>
      <c r="V691" s="36">
        <f>4.363+0.209-0.05</f>
        <v>4.522</v>
      </c>
      <c r="W691" s="36"/>
      <c r="X691" s="36"/>
      <c r="Y691" s="36"/>
      <c r="Z691" s="36">
        <v>0.159</v>
      </c>
      <c r="AA691" s="36">
        <f>SUM(AE691:AT691)</f>
        <v>0</v>
      </c>
      <c r="AB691" s="37"/>
      <c r="AC691" s="56">
        <f>SUM(V691:AB691)</f>
        <v>4.681</v>
      </c>
      <c r="AE691" s="151"/>
      <c r="AF691" s="151"/>
      <c r="AG691" s="151"/>
      <c r="AH691" s="151"/>
      <c r="AI691" s="151"/>
      <c r="AJ691" s="151"/>
      <c r="AK691" s="151"/>
      <c r="AL691" s="151"/>
      <c r="AM691" s="151"/>
      <c r="AN691" s="151"/>
      <c r="AO691" s="151"/>
      <c r="AP691" s="151"/>
      <c r="AQ691" s="151"/>
      <c r="AR691" s="151"/>
      <c r="AS691" s="151"/>
      <c r="AU691" s="37">
        <f>SUM(AE691:AT691)</f>
        <v>0</v>
      </c>
      <c r="AV691" s="33" t="s">
        <v>1254</v>
      </c>
    </row>
    <row r="692" spans="3:47" ht="13.5" thickBot="1">
      <c r="C692" s="8" t="s">
        <v>1370</v>
      </c>
      <c r="D692" s="25">
        <f>D594+D596+D597+D628+D630+D651+D673+D680+D687+D690+D691+D689</f>
        <v>26.565</v>
      </c>
      <c r="E692" s="175"/>
      <c r="F692" s="176"/>
      <c r="G692" s="25">
        <f>G594+G596+G597+G628+G630+G651+G673+G680+G687+G690+G691+G689</f>
        <v>7.718000000000001</v>
      </c>
      <c r="H692" s="97">
        <f>H594+H596+H597+H628+H630+H651+H673+H680+H687+H690+H691+H689</f>
        <v>5.046333333333334</v>
      </c>
      <c r="I692" s="28">
        <f>I594+I596+I597+I628+I630+I651+I673+I680+I687+I690+I691+I689</f>
        <v>0.04041666666666666</v>
      </c>
      <c r="J692" s="28">
        <f aca="true" t="shared" si="127" ref="J692:S692">J594+J596+J597+J628+J630+J651+J673+J680+J687+J690+J691+J689</f>
        <v>0.04041666666666666</v>
      </c>
      <c r="K692" s="28">
        <f t="shared" si="127"/>
        <v>0.025416666666666664</v>
      </c>
      <c r="L692" s="28">
        <f t="shared" si="127"/>
        <v>0.053116666666666666</v>
      </c>
      <c r="M692" s="28">
        <f t="shared" si="127"/>
        <v>2.425373809523809</v>
      </c>
      <c r="N692" s="28">
        <f t="shared" si="127"/>
        <v>2.57437380952381</v>
      </c>
      <c r="O692" s="28">
        <f t="shared" si="127"/>
        <v>2.9484252380952376</v>
      </c>
      <c r="P692" s="28">
        <f t="shared" si="127"/>
        <v>2.4553452380952376</v>
      </c>
      <c r="Q692" s="28">
        <f t="shared" si="127"/>
        <v>5.765845238095239</v>
      </c>
      <c r="R692" s="28">
        <f t="shared" si="127"/>
        <v>2.2633452380952384</v>
      </c>
      <c r="S692" s="28">
        <f t="shared" si="127"/>
        <v>2.070345238095238</v>
      </c>
      <c r="T692" s="25">
        <f>T594+T596+T597+T628+T630+T651+T673+T680+T687+T690+T691+T689</f>
        <v>9.959161904761906</v>
      </c>
      <c r="V692" s="248">
        <f>V594+V596+V597+V628+V630+V651+V673+V680+V687+V690+V691+V689</f>
        <v>4.522</v>
      </c>
      <c r="W692" s="248">
        <f aca="true" t="shared" si="128" ref="W692:AC692">W594+W596+W597+W628+W630+W651+W673+W680+W687+W690+W691+W689</f>
        <v>7.872999999999999</v>
      </c>
      <c r="X692" s="248">
        <f t="shared" si="128"/>
        <v>1</v>
      </c>
      <c r="Y692" s="248">
        <f t="shared" si="128"/>
        <v>0</v>
      </c>
      <c r="Z692" s="248">
        <f t="shared" si="128"/>
        <v>0.40900000000000003</v>
      </c>
      <c r="AA692" s="248">
        <f t="shared" si="128"/>
        <v>12.761</v>
      </c>
      <c r="AB692" s="248">
        <f t="shared" si="128"/>
        <v>0</v>
      </c>
      <c r="AC692" s="248">
        <f t="shared" si="128"/>
        <v>26.565</v>
      </c>
      <c r="AD692" s="8"/>
      <c r="AE692" s="25">
        <f>AE594+AE596+AE597+AE628+AE630+AE651+AE673+AE680+AE687+AE690+AE691+AE689</f>
        <v>12.761</v>
      </c>
      <c r="AF692" s="25">
        <f aca="true" t="shared" si="129" ref="AF692:AU692">AF594+AF596+AF597+AF628+AF630+AF651+AF673+AF680+AF687+AF690+AF691+AF689</f>
        <v>0</v>
      </c>
      <c r="AG692" s="25">
        <f t="shared" si="129"/>
        <v>0</v>
      </c>
      <c r="AH692" s="25">
        <f t="shared" si="129"/>
        <v>0</v>
      </c>
      <c r="AI692" s="25">
        <f t="shared" si="129"/>
        <v>0</v>
      </c>
      <c r="AJ692" s="25">
        <f t="shared" si="129"/>
        <v>0</v>
      </c>
      <c r="AK692" s="25">
        <f t="shared" si="129"/>
        <v>0</v>
      </c>
      <c r="AL692" s="25">
        <f t="shared" si="129"/>
        <v>0</v>
      </c>
      <c r="AM692" s="25">
        <f t="shared" si="129"/>
        <v>0</v>
      </c>
      <c r="AN692" s="25">
        <f t="shared" si="129"/>
        <v>0</v>
      </c>
      <c r="AO692" s="25">
        <f t="shared" si="129"/>
        <v>0</v>
      </c>
      <c r="AP692" s="25">
        <f t="shared" si="129"/>
        <v>0</v>
      </c>
      <c r="AQ692" s="25">
        <f t="shared" si="129"/>
        <v>0</v>
      </c>
      <c r="AR692" s="25">
        <f t="shared" si="129"/>
        <v>0</v>
      </c>
      <c r="AS692" s="25">
        <f t="shared" si="129"/>
        <v>0</v>
      </c>
      <c r="AT692" s="25">
        <f t="shared" si="129"/>
        <v>0</v>
      </c>
      <c r="AU692" s="25">
        <f t="shared" si="129"/>
        <v>12.761</v>
      </c>
    </row>
    <row r="693" spans="3:47" ht="12.75">
      <c r="C693" s="202"/>
      <c r="D693" s="5"/>
      <c r="E693" s="24"/>
      <c r="F693" s="170"/>
      <c r="G693" s="10"/>
      <c r="H693" s="91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95"/>
      <c r="T693" s="87"/>
      <c r="V693" s="36"/>
      <c r="W693" s="36"/>
      <c r="X693" s="36"/>
      <c r="Y693" s="36"/>
      <c r="Z693" s="36"/>
      <c r="AA693" s="36"/>
      <c r="AB693" s="37"/>
      <c r="AC693" s="37"/>
      <c r="AU693" s="37"/>
    </row>
    <row r="694" spans="3:47" ht="12.75">
      <c r="C694" s="8" t="s">
        <v>1344</v>
      </c>
      <c r="D694" s="5"/>
      <c r="E694" s="24"/>
      <c r="F694" s="170"/>
      <c r="G694" s="10"/>
      <c r="H694" s="91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95"/>
      <c r="T694" s="87"/>
      <c r="V694" s="36"/>
      <c r="W694" s="36"/>
      <c r="X694" s="36"/>
      <c r="Y694" s="36"/>
      <c r="Z694" s="36"/>
      <c r="AA694" s="36"/>
      <c r="AB694" s="37"/>
      <c r="AC694" s="37"/>
      <c r="AU694" s="37"/>
    </row>
    <row r="695" spans="2:47" ht="12.75">
      <c r="B695" s="33" t="s">
        <v>1617</v>
      </c>
      <c r="C695" s="5" t="s">
        <v>1618</v>
      </c>
      <c r="D695" s="10">
        <v>0.025</v>
      </c>
      <c r="E695" s="180">
        <v>38231</v>
      </c>
      <c r="F695" s="181">
        <v>38412</v>
      </c>
      <c r="G695" s="10">
        <v>0.013</v>
      </c>
      <c r="H695" s="91">
        <v>0</v>
      </c>
      <c r="I695" s="13">
        <v>0</v>
      </c>
      <c r="J695" s="13">
        <v>0</v>
      </c>
      <c r="K695" s="13">
        <v>0</v>
      </c>
      <c r="L695" s="13">
        <v>0</v>
      </c>
      <c r="M695" s="263">
        <v>0.0035714285714285718</v>
      </c>
      <c r="N695" s="263">
        <v>0.0035714285714285718</v>
      </c>
      <c r="O695" s="263">
        <v>0.0035714285714285718</v>
      </c>
      <c r="P695" s="263">
        <v>0.0035714285714285718</v>
      </c>
      <c r="Q695" s="263">
        <v>0.0035714285714285718</v>
      </c>
      <c r="R695" s="263">
        <v>0.0035714285714285718</v>
      </c>
      <c r="S695" s="263">
        <v>0.0035714285714285718</v>
      </c>
      <c r="T695" s="5">
        <f aca="true" t="shared" si="130" ref="T695:T722">SUM(H695:N695)</f>
        <v>0.0071428571428571435</v>
      </c>
      <c r="U695" s="5"/>
      <c r="V695" s="36"/>
      <c r="W695" s="36"/>
      <c r="X695" s="36"/>
      <c r="Y695" s="36">
        <v>0.025</v>
      </c>
      <c r="Z695" s="36"/>
      <c r="AA695" s="36">
        <f>SUM(AE695:AT695)</f>
        <v>0</v>
      </c>
      <c r="AB695" s="37"/>
      <c r="AC695" s="56">
        <f>SUM(V695:AB695)</f>
        <v>0.025</v>
      </c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>
        <f>SUM(AE695:AT695)</f>
        <v>0</v>
      </c>
    </row>
    <row r="696" spans="2:48" ht="12.75">
      <c r="B696" s="33" t="s">
        <v>1619</v>
      </c>
      <c r="C696" s="5" t="s">
        <v>1620</v>
      </c>
      <c r="D696" s="10">
        <v>0.053</v>
      </c>
      <c r="E696" s="180">
        <v>38231</v>
      </c>
      <c r="F696" s="181">
        <v>38412</v>
      </c>
      <c r="G696" s="10">
        <v>0.006</v>
      </c>
      <c r="H696" s="91">
        <v>0.005</v>
      </c>
      <c r="I696" s="13">
        <v>0</v>
      </c>
      <c r="J696" s="13">
        <v>0</v>
      </c>
      <c r="K696" s="13">
        <v>0</v>
      </c>
      <c r="L696" s="13">
        <v>0</v>
      </c>
      <c r="M696" s="263">
        <v>0.006857142857142858</v>
      </c>
      <c r="N696" s="263">
        <v>0.006857142857142858</v>
      </c>
      <c r="O696" s="263">
        <v>0.006857142857142858</v>
      </c>
      <c r="P696" s="263">
        <v>0.006857142857142858</v>
      </c>
      <c r="Q696" s="263">
        <v>0.006857142857142858</v>
      </c>
      <c r="R696" s="263">
        <v>0.006857142857142858</v>
      </c>
      <c r="S696" s="263">
        <v>0.006857142857142858</v>
      </c>
      <c r="T696" s="5">
        <f t="shared" si="130"/>
        <v>0.018714285714285715</v>
      </c>
      <c r="U696" s="5"/>
      <c r="V696" s="36"/>
      <c r="W696" s="36"/>
      <c r="X696" s="36"/>
      <c r="Y696" s="36">
        <v>0.053</v>
      </c>
      <c r="Z696" s="36"/>
      <c r="AA696" s="36">
        <f>SUM(AE696:AT696)</f>
        <v>0</v>
      </c>
      <c r="AB696" s="37"/>
      <c r="AC696" s="56">
        <f aca="true" t="shared" si="131" ref="AC696:AC722">SUM(V696:AB696)</f>
        <v>0.053</v>
      </c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>
        <f aca="true" t="shared" si="132" ref="AU696:AU722">SUM(AE696:AT696)</f>
        <v>0</v>
      </c>
      <c r="AV696" s="33" t="s">
        <v>114</v>
      </c>
    </row>
    <row r="697" spans="2:47" ht="12.75">
      <c r="B697" s="33" t="s">
        <v>1621</v>
      </c>
      <c r="C697" s="5" t="s">
        <v>1622</v>
      </c>
      <c r="D697" s="10">
        <f>0.037+0.037</f>
        <v>0.074</v>
      </c>
      <c r="E697" s="180">
        <v>38231</v>
      </c>
      <c r="F697" s="181">
        <v>38412</v>
      </c>
      <c r="G697" s="10">
        <v>0.036</v>
      </c>
      <c r="H697" s="91">
        <v>0.002</v>
      </c>
      <c r="I697" s="13">
        <v>0</v>
      </c>
      <c r="J697" s="13">
        <v>0</v>
      </c>
      <c r="K697" s="13">
        <v>0</v>
      </c>
      <c r="L697" s="13">
        <v>0</v>
      </c>
      <c r="M697" s="263">
        <v>0.01</v>
      </c>
      <c r="N697" s="263">
        <v>0.01</v>
      </c>
      <c r="O697" s="263">
        <v>0.01</v>
      </c>
      <c r="P697" s="263">
        <v>0.01</v>
      </c>
      <c r="Q697" s="263">
        <v>0.01</v>
      </c>
      <c r="R697" s="263">
        <v>0.011</v>
      </c>
      <c r="S697" s="263">
        <v>0.011</v>
      </c>
      <c r="T697" s="5">
        <f t="shared" si="130"/>
        <v>0.022</v>
      </c>
      <c r="U697" s="5"/>
      <c r="V697" s="36"/>
      <c r="W697" s="36"/>
      <c r="X697" s="36"/>
      <c r="Y697" s="36"/>
      <c r="Z697" s="36"/>
      <c r="AA697" s="36">
        <f>SUM(AE697:AT697)</f>
        <v>0</v>
      </c>
      <c r="AB697" s="37">
        <f>0.037+0.037</f>
        <v>0.074</v>
      </c>
      <c r="AC697" s="56">
        <f t="shared" si="131"/>
        <v>0.074</v>
      </c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>
        <f t="shared" si="132"/>
        <v>0</v>
      </c>
    </row>
    <row r="698" spans="2:48" ht="12.75">
      <c r="B698" s="33" t="s">
        <v>112</v>
      </c>
      <c r="C698" s="5" t="s">
        <v>113</v>
      </c>
      <c r="D698" s="10"/>
      <c r="E698" s="180"/>
      <c r="F698" s="181"/>
      <c r="G698" s="10">
        <v>0.016</v>
      </c>
      <c r="H698" s="91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5">
        <f t="shared" si="130"/>
        <v>0</v>
      </c>
      <c r="U698" s="5"/>
      <c r="V698" s="36"/>
      <c r="W698" s="36"/>
      <c r="X698" s="36"/>
      <c r="Y698" s="36"/>
      <c r="Z698" s="36"/>
      <c r="AA698" s="36">
        <f>SUM(AE698:AT698)</f>
        <v>0</v>
      </c>
      <c r="AC698" s="37">
        <f t="shared" si="131"/>
        <v>0</v>
      </c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>
        <f t="shared" si="132"/>
        <v>0</v>
      </c>
      <c r="AV698" s="33" t="s">
        <v>1566</v>
      </c>
    </row>
    <row r="699" spans="2:47" ht="12.75">
      <c r="B699" s="33" t="s">
        <v>1616</v>
      </c>
      <c r="C699" s="5" t="s">
        <v>1722</v>
      </c>
      <c r="D699" s="10">
        <v>0.126</v>
      </c>
      <c r="E699" s="180">
        <v>38078</v>
      </c>
      <c r="F699" s="181">
        <v>38412</v>
      </c>
      <c r="G699" s="10">
        <v>0.082</v>
      </c>
      <c r="H699" s="91">
        <v>0</v>
      </c>
      <c r="I699" s="13">
        <v>0</v>
      </c>
      <c r="J699" s="13">
        <v>0</v>
      </c>
      <c r="K699" s="13">
        <v>0</v>
      </c>
      <c r="L699" s="13">
        <v>0</v>
      </c>
      <c r="M699" s="263">
        <v>0.018</v>
      </c>
      <c r="N699" s="263">
        <v>0.018</v>
      </c>
      <c r="O699" s="263">
        <v>0.018</v>
      </c>
      <c r="P699" s="263">
        <v>0.018</v>
      </c>
      <c r="Q699" s="263">
        <v>0.018</v>
      </c>
      <c r="R699" s="263">
        <v>0.018</v>
      </c>
      <c r="S699" s="263">
        <v>0.0177</v>
      </c>
      <c r="T699" s="5">
        <f t="shared" si="130"/>
        <v>0.036</v>
      </c>
      <c r="U699" s="5"/>
      <c r="V699" s="36"/>
      <c r="W699" s="36">
        <v>0.126</v>
      </c>
      <c r="X699" s="36"/>
      <c r="Y699" s="36"/>
      <c r="Z699" s="36"/>
      <c r="AA699" s="36">
        <f>SUM(AE699:AT699)</f>
        <v>0</v>
      </c>
      <c r="AB699" s="37"/>
      <c r="AC699" s="56">
        <f t="shared" si="131"/>
        <v>0.126</v>
      </c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>
        <f t="shared" si="132"/>
        <v>0</v>
      </c>
    </row>
    <row r="700" spans="2:47" ht="12.75">
      <c r="B700" s="33" t="s">
        <v>526</v>
      </c>
      <c r="C700" s="5" t="s">
        <v>528</v>
      </c>
      <c r="D700" s="10">
        <v>0.01</v>
      </c>
      <c r="E700" s="180">
        <v>38353</v>
      </c>
      <c r="F700" s="181">
        <v>38412</v>
      </c>
      <c r="G700" s="10"/>
      <c r="H700" s="91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263">
        <v>0.01</v>
      </c>
      <c r="S700" s="13">
        <v>0</v>
      </c>
      <c r="T700" s="5">
        <f t="shared" si="130"/>
        <v>0</v>
      </c>
      <c r="U700" s="5"/>
      <c r="V700" s="36">
        <v>0.01</v>
      </c>
      <c r="W700" s="36"/>
      <c r="X700" s="36"/>
      <c r="Y700" s="36"/>
      <c r="Z700" s="36"/>
      <c r="AA700" s="36">
        <f aca="true" t="shared" si="133" ref="AA700:AA720">SUM(AE700:AT700)</f>
        <v>0</v>
      </c>
      <c r="AB700" s="37"/>
      <c r="AC700" s="56">
        <f t="shared" si="131"/>
        <v>0.01</v>
      </c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>
        <f t="shared" si="132"/>
        <v>0</v>
      </c>
    </row>
    <row r="701" spans="2:47" ht="12.75">
      <c r="B701" s="33" t="s">
        <v>527</v>
      </c>
      <c r="C701" s="5" t="s">
        <v>529</v>
      </c>
      <c r="D701" s="10">
        <v>0.01</v>
      </c>
      <c r="E701" s="180" t="s">
        <v>1149</v>
      </c>
      <c r="F701" s="181"/>
      <c r="G701" s="10">
        <v>0.004</v>
      </c>
      <c r="H701" s="91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263">
        <v>0.01</v>
      </c>
      <c r="Q701" s="13">
        <v>0</v>
      </c>
      <c r="R701" s="13">
        <v>0</v>
      </c>
      <c r="S701" s="13">
        <v>0</v>
      </c>
      <c r="T701" s="5">
        <f t="shared" si="130"/>
        <v>0</v>
      </c>
      <c r="U701" s="5"/>
      <c r="V701" s="36">
        <v>0.01</v>
      </c>
      <c r="W701" s="36"/>
      <c r="X701" s="36"/>
      <c r="Y701" s="36"/>
      <c r="Z701" s="36"/>
      <c r="AA701" s="36">
        <f t="shared" si="133"/>
        <v>0</v>
      </c>
      <c r="AB701" s="37"/>
      <c r="AC701" s="56">
        <f t="shared" si="131"/>
        <v>0.01</v>
      </c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>
        <f t="shared" si="132"/>
        <v>0</v>
      </c>
    </row>
    <row r="702" spans="2:47" ht="12.75">
      <c r="B702" s="216" t="s">
        <v>530</v>
      </c>
      <c r="C702" s="219" t="s">
        <v>531</v>
      </c>
      <c r="D702" s="10">
        <v>0.003</v>
      </c>
      <c r="E702" s="180"/>
      <c r="F702" s="181"/>
      <c r="G702" s="10"/>
      <c r="H702" s="91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0.003</v>
      </c>
      <c r="T702" s="5">
        <f t="shared" si="130"/>
        <v>0</v>
      </c>
      <c r="U702" s="5"/>
      <c r="V702" s="36"/>
      <c r="W702" s="36"/>
      <c r="X702" s="36"/>
      <c r="Y702" s="36"/>
      <c r="Z702" s="36">
        <v>0.003</v>
      </c>
      <c r="AA702" s="36">
        <f t="shared" si="133"/>
        <v>0</v>
      </c>
      <c r="AB702" s="37"/>
      <c r="AC702" s="56">
        <f t="shared" si="131"/>
        <v>0.003</v>
      </c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>
        <f t="shared" si="132"/>
        <v>0</v>
      </c>
    </row>
    <row r="703" spans="2:47" ht="12.75">
      <c r="B703" s="216" t="s">
        <v>1562</v>
      </c>
      <c r="C703" s="219" t="s">
        <v>1563</v>
      </c>
      <c r="D703" s="10">
        <v>0.01</v>
      </c>
      <c r="E703" s="180">
        <v>38412</v>
      </c>
      <c r="F703" s="181">
        <v>38412</v>
      </c>
      <c r="G703" s="10">
        <v>0.01</v>
      </c>
      <c r="H703" s="91">
        <v>0</v>
      </c>
      <c r="I703" s="13">
        <v>0</v>
      </c>
      <c r="J703" s="13">
        <v>0</v>
      </c>
      <c r="K703" s="13">
        <v>0</v>
      </c>
      <c r="L703" s="263">
        <v>0.01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5">
        <f t="shared" si="130"/>
        <v>0.01</v>
      </c>
      <c r="U703" s="5"/>
      <c r="V703" s="36"/>
      <c r="W703" s="36"/>
      <c r="X703" s="36"/>
      <c r="Y703" s="36"/>
      <c r="Z703" s="36">
        <v>0.01</v>
      </c>
      <c r="AA703" s="36">
        <f>SUM(AE703:AT703)</f>
        <v>0</v>
      </c>
      <c r="AB703" s="37"/>
      <c r="AC703" s="56">
        <f>SUM(V703:AB703)</f>
        <v>0.01</v>
      </c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</row>
    <row r="704" spans="2:47" ht="12.75">
      <c r="B704" s="216" t="s">
        <v>532</v>
      </c>
      <c r="C704" s="219" t="s">
        <v>1150</v>
      </c>
      <c r="D704" s="10">
        <v>0.028</v>
      </c>
      <c r="E704" s="180">
        <v>38353</v>
      </c>
      <c r="F704" s="181">
        <v>38384</v>
      </c>
      <c r="G704" s="10"/>
      <c r="H704" s="91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263">
        <v>0.012</v>
      </c>
      <c r="R704" s="263">
        <v>0.013</v>
      </c>
      <c r="S704" s="13">
        <v>0</v>
      </c>
      <c r="T704" s="5">
        <f t="shared" si="130"/>
        <v>0</v>
      </c>
      <c r="U704" s="5"/>
      <c r="V704" s="36">
        <v>0.025</v>
      </c>
      <c r="W704" s="36"/>
      <c r="X704" s="36"/>
      <c r="Y704" s="36"/>
      <c r="Z704" s="36">
        <v>0.003</v>
      </c>
      <c r="AA704" s="36">
        <f>SUM(AE704:AT704)</f>
        <v>0</v>
      </c>
      <c r="AB704" s="37"/>
      <c r="AC704" s="56">
        <f>SUM(V704:AB704)</f>
        <v>0.028</v>
      </c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>
        <f t="shared" si="132"/>
        <v>0</v>
      </c>
    </row>
    <row r="705" spans="2:47" ht="12.75">
      <c r="B705" s="216" t="s">
        <v>534</v>
      </c>
      <c r="C705" s="219" t="s">
        <v>535</v>
      </c>
      <c r="D705" s="10">
        <v>0.025</v>
      </c>
      <c r="E705" s="180">
        <v>38353</v>
      </c>
      <c r="F705" s="181">
        <v>38384</v>
      </c>
      <c r="G705" s="10"/>
      <c r="H705" s="91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263">
        <v>0.012</v>
      </c>
      <c r="R705" s="263">
        <v>0.013</v>
      </c>
      <c r="S705" s="13">
        <v>0</v>
      </c>
      <c r="T705" s="5">
        <f t="shared" si="130"/>
        <v>0</v>
      </c>
      <c r="U705" s="5"/>
      <c r="V705" s="36"/>
      <c r="W705" s="36"/>
      <c r="X705" s="36"/>
      <c r="Y705" s="36"/>
      <c r="Z705" s="36">
        <v>0.025</v>
      </c>
      <c r="AA705" s="36">
        <f>SUM(AE705:AT705)</f>
        <v>0</v>
      </c>
      <c r="AB705" s="37"/>
      <c r="AC705" s="56">
        <f>SUM(V705:AB705)</f>
        <v>0.025</v>
      </c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>
        <f t="shared" si="132"/>
        <v>0</v>
      </c>
    </row>
    <row r="706" spans="2:47" ht="12.75">
      <c r="B706" s="216" t="s">
        <v>1564</v>
      </c>
      <c r="C706" s="219" t="s">
        <v>1565</v>
      </c>
      <c r="D706" s="10">
        <v>0.01</v>
      </c>
      <c r="E706" s="180" t="s">
        <v>1149</v>
      </c>
      <c r="F706" s="181"/>
      <c r="G706" s="10">
        <v>0.011</v>
      </c>
      <c r="H706" s="91"/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263">
        <v>0.004</v>
      </c>
      <c r="P706" s="263">
        <v>0.004</v>
      </c>
      <c r="Q706" s="263">
        <v>0.005</v>
      </c>
      <c r="R706" s="263">
        <v>0.005</v>
      </c>
      <c r="S706" s="13">
        <v>0</v>
      </c>
      <c r="T706" s="5">
        <f t="shared" si="130"/>
        <v>0</v>
      </c>
      <c r="U706" s="5"/>
      <c r="V706" s="36"/>
      <c r="W706" s="36"/>
      <c r="X706" s="36"/>
      <c r="Y706" s="36"/>
      <c r="Z706" s="36">
        <v>0.01</v>
      </c>
      <c r="AA706" s="36">
        <f>SUM(AE706:AT706)</f>
        <v>0</v>
      </c>
      <c r="AB706" s="37"/>
      <c r="AC706" s="56">
        <f>SUM(V706:AB706)</f>
        <v>0.01</v>
      </c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</row>
    <row r="707" spans="2:47" ht="12.75">
      <c r="B707" s="216" t="s">
        <v>536</v>
      </c>
      <c r="C707" s="219" t="s">
        <v>537</v>
      </c>
      <c r="D707" s="10">
        <v>0.018</v>
      </c>
      <c r="E707" s="180">
        <v>38292</v>
      </c>
      <c r="F707" s="181">
        <v>38384</v>
      </c>
      <c r="G707" s="10">
        <v>0.002</v>
      </c>
      <c r="H707" s="91">
        <v>0.002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263">
        <v>0.022</v>
      </c>
      <c r="P707" s="263">
        <v>0.022</v>
      </c>
      <c r="Q707" s="263">
        <v>0.022</v>
      </c>
      <c r="R707" s="263">
        <v>0.023</v>
      </c>
      <c r="S707" s="13">
        <v>0</v>
      </c>
      <c r="T707" s="5">
        <f t="shared" si="130"/>
        <v>0.002</v>
      </c>
      <c r="U707" s="5"/>
      <c r="V707" s="36">
        <v>0.018</v>
      </c>
      <c r="W707" s="36"/>
      <c r="X707" s="36"/>
      <c r="Y707" s="36"/>
      <c r="Z707" s="36"/>
      <c r="AA707" s="36">
        <f>SUM(AE707:AT707)</f>
        <v>0</v>
      </c>
      <c r="AB707" s="37"/>
      <c r="AC707" s="56">
        <f>SUM(V707:AB707)</f>
        <v>0.018</v>
      </c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>
        <f t="shared" si="132"/>
        <v>0</v>
      </c>
    </row>
    <row r="708" spans="2:47" ht="12.75">
      <c r="B708" s="216" t="s">
        <v>538</v>
      </c>
      <c r="C708" s="219" t="s">
        <v>539</v>
      </c>
      <c r="D708" s="10">
        <v>0.091</v>
      </c>
      <c r="E708" s="180">
        <v>38292</v>
      </c>
      <c r="F708" s="181">
        <v>38384</v>
      </c>
      <c r="G708" s="10"/>
      <c r="H708" s="91">
        <v>0</v>
      </c>
      <c r="I708" s="13">
        <v>0</v>
      </c>
      <c r="J708" s="13">
        <v>0</v>
      </c>
      <c r="K708" s="13">
        <v>0</v>
      </c>
      <c r="L708" s="13">
        <v>0</v>
      </c>
      <c r="M708" s="263">
        <v>0.013</v>
      </c>
      <c r="N708" s="263">
        <v>0.013</v>
      </c>
      <c r="O708" s="263">
        <v>0.013</v>
      </c>
      <c r="P708" s="263">
        <v>0.013</v>
      </c>
      <c r="Q708" s="263">
        <v>0.013</v>
      </c>
      <c r="R708" s="263">
        <v>0.013</v>
      </c>
      <c r="S708" s="263">
        <v>0.0134</v>
      </c>
      <c r="T708" s="5">
        <f t="shared" si="130"/>
        <v>0.026</v>
      </c>
      <c r="U708" s="5"/>
      <c r="V708" s="36">
        <v>0.05</v>
      </c>
      <c r="W708" s="36"/>
      <c r="X708" s="36"/>
      <c r="Y708" s="36"/>
      <c r="Z708" s="36">
        <v>0.041</v>
      </c>
      <c r="AA708" s="36">
        <f t="shared" si="133"/>
        <v>0</v>
      </c>
      <c r="AB708" s="37"/>
      <c r="AC708" s="56">
        <f t="shared" si="131"/>
        <v>0.091</v>
      </c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>
        <f t="shared" si="132"/>
        <v>0</v>
      </c>
    </row>
    <row r="709" spans="2:47" ht="12.75">
      <c r="B709" s="216" t="s">
        <v>540</v>
      </c>
      <c r="C709" s="219" t="s">
        <v>541</v>
      </c>
      <c r="D709" s="10">
        <v>0.04</v>
      </c>
      <c r="E709" s="180">
        <v>38353</v>
      </c>
      <c r="F709" s="181">
        <v>38384</v>
      </c>
      <c r="G709" s="10"/>
      <c r="H709" s="91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263">
        <v>0.02</v>
      </c>
      <c r="R709" s="263">
        <v>0.02</v>
      </c>
      <c r="S709" s="13">
        <v>0</v>
      </c>
      <c r="T709" s="5">
        <f t="shared" si="130"/>
        <v>0</v>
      </c>
      <c r="U709" s="5"/>
      <c r="V709" s="36">
        <v>0.04</v>
      </c>
      <c r="W709" s="36"/>
      <c r="X709" s="36"/>
      <c r="Y709" s="36"/>
      <c r="AA709" s="36">
        <f t="shared" si="133"/>
        <v>0</v>
      </c>
      <c r="AB709" s="37"/>
      <c r="AC709" s="56">
        <f t="shared" si="131"/>
        <v>0.04</v>
      </c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>
        <f t="shared" si="132"/>
        <v>0</v>
      </c>
    </row>
    <row r="710" spans="2:47" ht="12.75">
      <c r="B710" s="216" t="s">
        <v>542</v>
      </c>
      <c r="C710" s="219" t="s">
        <v>543</v>
      </c>
      <c r="D710" s="10">
        <v>0.002</v>
      </c>
      <c r="E710" s="180"/>
      <c r="F710" s="181"/>
      <c r="G710" s="10"/>
      <c r="H710" s="91">
        <v>0.002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5">
        <f t="shared" si="130"/>
        <v>0.002</v>
      </c>
      <c r="U710" s="5"/>
      <c r="V710" s="36"/>
      <c r="W710" s="36"/>
      <c r="X710" s="36"/>
      <c r="Y710" s="36">
        <v>0.002</v>
      </c>
      <c r="Z710" s="36"/>
      <c r="AA710" s="36">
        <f t="shared" si="133"/>
        <v>0</v>
      </c>
      <c r="AB710" s="37"/>
      <c r="AC710" s="56">
        <f t="shared" si="131"/>
        <v>0.002</v>
      </c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>
        <f t="shared" si="132"/>
        <v>0</v>
      </c>
    </row>
    <row r="711" spans="2:47" ht="12.75">
      <c r="B711" s="216" t="s">
        <v>544</v>
      </c>
      <c r="C711" s="219" t="s">
        <v>545</v>
      </c>
      <c r="D711" s="10">
        <v>0.001</v>
      </c>
      <c r="E711" s="180"/>
      <c r="F711" s="181"/>
      <c r="G711" s="10"/>
      <c r="H711" s="91">
        <v>0.001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5">
        <f t="shared" si="130"/>
        <v>0.001</v>
      </c>
      <c r="U711" s="5"/>
      <c r="V711" s="36"/>
      <c r="W711" s="36"/>
      <c r="X711" s="36"/>
      <c r="Y711" s="36">
        <v>0.001</v>
      </c>
      <c r="Z711" s="36"/>
      <c r="AA711" s="36">
        <f t="shared" si="133"/>
        <v>0</v>
      </c>
      <c r="AB711" s="37"/>
      <c r="AC711" s="56">
        <f t="shared" si="131"/>
        <v>0.001</v>
      </c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>
        <f t="shared" si="132"/>
        <v>0</v>
      </c>
    </row>
    <row r="712" spans="2:47" ht="12.75">
      <c r="B712" s="216" t="s">
        <v>546</v>
      </c>
      <c r="C712" s="219" t="s">
        <v>547</v>
      </c>
      <c r="D712" s="10"/>
      <c r="E712" s="180"/>
      <c r="F712" s="181"/>
      <c r="G712" s="10"/>
      <c r="H712" s="91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5">
        <f t="shared" si="130"/>
        <v>0</v>
      </c>
      <c r="U712" s="5"/>
      <c r="V712" s="36"/>
      <c r="W712" s="36"/>
      <c r="X712" s="36"/>
      <c r="Y712" s="36"/>
      <c r="Z712" s="36"/>
      <c r="AA712" s="36">
        <f t="shared" si="133"/>
        <v>0</v>
      </c>
      <c r="AB712" s="37"/>
      <c r="AC712" s="56">
        <f t="shared" si="131"/>
        <v>0</v>
      </c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>
        <f t="shared" si="132"/>
        <v>0</v>
      </c>
    </row>
    <row r="713" spans="2:47" ht="12.75">
      <c r="B713" s="216" t="s">
        <v>548</v>
      </c>
      <c r="C713" s="219" t="s">
        <v>549</v>
      </c>
      <c r="D713" s="10"/>
      <c r="E713" s="180"/>
      <c r="F713" s="181"/>
      <c r="G713" s="10"/>
      <c r="H713" s="91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5">
        <f t="shared" si="130"/>
        <v>0</v>
      </c>
      <c r="U713" s="5"/>
      <c r="V713" s="36"/>
      <c r="W713" s="36"/>
      <c r="X713" s="36"/>
      <c r="Y713" s="36"/>
      <c r="Z713" s="36"/>
      <c r="AA713" s="36">
        <f t="shared" si="133"/>
        <v>0</v>
      </c>
      <c r="AB713" s="37"/>
      <c r="AC713" s="56">
        <f t="shared" si="131"/>
        <v>0</v>
      </c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>
        <f t="shared" si="132"/>
        <v>0</v>
      </c>
    </row>
    <row r="714" spans="2:47" ht="12.75">
      <c r="B714" s="33" t="s">
        <v>1614</v>
      </c>
      <c r="C714" s="5" t="s">
        <v>1615</v>
      </c>
      <c r="D714" s="10"/>
      <c r="E714" s="180"/>
      <c r="F714" s="181"/>
      <c r="G714" s="10">
        <v>0.001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5">
        <f t="shared" si="130"/>
        <v>0</v>
      </c>
      <c r="U714" s="5"/>
      <c r="V714" s="36"/>
      <c r="W714" s="36"/>
      <c r="X714" s="36"/>
      <c r="Y714" s="36"/>
      <c r="Z714" s="36"/>
      <c r="AA714" s="36">
        <f t="shared" si="133"/>
        <v>0</v>
      </c>
      <c r="AB714" s="37"/>
      <c r="AC714" s="56">
        <f t="shared" si="131"/>
        <v>0</v>
      </c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>
        <f t="shared" si="132"/>
        <v>0</v>
      </c>
    </row>
    <row r="715" spans="2:48" ht="12.75">
      <c r="B715" s="33" t="s">
        <v>1612</v>
      </c>
      <c r="C715" s="5" t="s">
        <v>1387</v>
      </c>
      <c r="D715" s="10">
        <v>0.251</v>
      </c>
      <c r="E715" s="180">
        <v>38078</v>
      </c>
      <c r="F715" s="181">
        <v>38412</v>
      </c>
      <c r="G715" s="10">
        <v>0.001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263">
        <v>0.042</v>
      </c>
      <c r="O715" s="263">
        <v>0.042</v>
      </c>
      <c r="P715" s="263">
        <v>0.042</v>
      </c>
      <c r="Q715" s="263">
        <v>0.042</v>
      </c>
      <c r="R715" s="263">
        <v>0.042</v>
      </c>
      <c r="S715" s="263">
        <v>0.041</v>
      </c>
      <c r="T715" s="5">
        <f t="shared" si="130"/>
        <v>0.042</v>
      </c>
      <c r="U715" s="5"/>
      <c r="V715" s="36"/>
      <c r="W715" s="36"/>
      <c r="X715" s="36"/>
      <c r="Z715" s="36">
        <v>0.1</v>
      </c>
      <c r="AA715" s="36">
        <f t="shared" si="133"/>
        <v>0.151</v>
      </c>
      <c r="AB715" s="37"/>
      <c r="AC715" s="56">
        <f t="shared" si="131"/>
        <v>0.251</v>
      </c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>
        <v>0.151</v>
      </c>
      <c r="AU715" s="37">
        <f t="shared" si="132"/>
        <v>0.151</v>
      </c>
      <c r="AV715" s="33" t="s">
        <v>1445</v>
      </c>
    </row>
    <row r="716" spans="2:47" ht="12.75">
      <c r="B716" s="33" t="s">
        <v>110</v>
      </c>
      <c r="C716" s="5" t="s">
        <v>111</v>
      </c>
      <c r="D716" s="10">
        <v>0.063</v>
      </c>
      <c r="E716" s="180">
        <v>38292</v>
      </c>
      <c r="F716" s="181">
        <v>38353</v>
      </c>
      <c r="G716" s="10">
        <v>0.042</v>
      </c>
      <c r="H716" s="263">
        <v>0.042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263">
        <v>0.007</v>
      </c>
      <c r="P716" s="263">
        <v>0.007</v>
      </c>
      <c r="Q716" s="263">
        <v>0.007</v>
      </c>
      <c r="R716" s="13">
        <v>0</v>
      </c>
      <c r="S716" s="13">
        <v>0</v>
      </c>
      <c r="T716" s="5">
        <f t="shared" si="130"/>
        <v>0.042</v>
      </c>
      <c r="U716" s="5"/>
      <c r="V716" s="36"/>
      <c r="W716" s="36"/>
      <c r="X716" s="36"/>
      <c r="Y716" s="36">
        <v>0.014</v>
      </c>
      <c r="AA716" s="36">
        <f t="shared" si="133"/>
        <v>0.029</v>
      </c>
      <c r="AB716" s="37">
        <v>0.02</v>
      </c>
      <c r="AC716" s="56">
        <f t="shared" si="131"/>
        <v>0.063</v>
      </c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>
        <v>0.029</v>
      </c>
      <c r="AQ716" s="37"/>
      <c r="AR716" s="37"/>
      <c r="AS716" s="37"/>
      <c r="AT716" s="37"/>
      <c r="AU716" s="37">
        <f t="shared" si="132"/>
        <v>0.029</v>
      </c>
    </row>
    <row r="717" spans="2:48" ht="12.75">
      <c r="B717" s="33" t="s">
        <v>109</v>
      </c>
      <c r="C717" s="5" t="s">
        <v>72</v>
      </c>
      <c r="D717" s="10">
        <v>0.109</v>
      </c>
      <c r="E717" s="180">
        <v>38108</v>
      </c>
      <c r="F717" s="181">
        <v>38200</v>
      </c>
      <c r="G717" s="10">
        <v>0.059</v>
      </c>
      <c r="H717" s="263">
        <v>0.029</v>
      </c>
      <c r="I717" s="263">
        <v>0.008000000000000002</v>
      </c>
      <c r="J717" s="263">
        <v>0.008000000000000002</v>
      </c>
      <c r="K717" s="263">
        <v>0.008000000000000002</v>
      </c>
      <c r="L717" s="263">
        <v>0.008000000000000002</v>
      </c>
      <c r="M717" s="263">
        <v>0.008000000000000002</v>
      </c>
      <c r="N717" s="13">
        <v>0</v>
      </c>
      <c r="O717" s="263">
        <v>0.012</v>
      </c>
      <c r="P717" s="263">
        <v>0.012</v>
      </c>
      <c r="Q717" s="263">
        <v>0.012</v>
      </c>
      <c r="R717" s="263">
        <v>0.004</v>
      </c>
      <c r="S717" s="13">
        <v>0</v>
      </c>
      <c r="T717" s="5">
        <f t="shared" si="130"/>
        <v>0.069</v>
      </c>
      <c r="U717" s="5"/>
      <c r="V717" s="36"/>
      <c r="W717" s="36"/>
      <c r="X717" s="36"/>
      <c r="Y717" s="36"/>
      <c r="AA717" s="36">
        <f t="shared" si="133"/>
        <v>0.109</v>
      </c>
      <c r="AB717" s="37"/>
      <c r="AC717" s="56">
        <f t="shared" si="131"/>
        <v>0.109</v>
      </c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>
        <v>0.109</v>
      </c>
      <c r="AQ717" s="37"/>
      <c r="AR717" s="37"/>
      <c r="AS717" s="37"/>
      <c r="AT717" s="37"/>
      <c r="AU717" s="37">
        <f t="shared" si="132"/>
        <v>0.109</v>
      </c>
      <c r="AV717" s="33" t="s">
        <v>1567</v>
      </c>
    </row>
    <row r="718" spans="2:47" ht="12.75">
      <c r="B718" s="33" t="s">
        <v>108</v>
      </c>
      <c r="C718" s="5" t="s">
        <v>1452</v>
      </c>
      <c r="D718" s="10">
        <v>0.112</v>
      </c>
      <c r="E718" s="180"/>
      <c r="F718" s="181"/>
      <c r="G718" s="10">
        <v>0.124</v>
      </c>
      <c r="H718" s="263">
        <v>0.069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263">
        <v>0.014</v>
      </c>
      <c r="Q718" s="263">
        <v>0.014</v>
      </c>
      <c r="R718" s="263">
        <v>0.015</v>
      </c>
      <c r="S718" s="13">
        <v>0</v>
      </c>
      <c r="T718" s="5">
        <f t="shared" si="130"/>
        <v>0.069</v>
      </c>
      <c r="U718" s="5"/>
      <c r="V718" s="36"/>
      <c r="W718" s="36"/>
      <c r="X718" s="36"/>
      <c r="Y718" s="36"/>
      <c r="Z718" s="6">
        <v>0.07</v>
      </c>
      <c r="AA718" s="36">
        <f t="shared" si="133"/>
        <v>0.042</v>
      </c>
      <c r="AB718" s="37"/>
      <c r="AC718" s="56">
        <f t="shared" si="131"/>
        <v>0.11200000000000002</v>
      </c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>
        <v>0.042</v>
      </c>
      <c r="AQ718" s="37"/>
      <c r="AR718" s="37"/>
      <c r="AS718" s="37"/>
      <c r="AT718" s="37"/>
      <c r="AU718" s="37">
        <f t="shared" si="132"/>
        <v>0.042</v>
      </c>
    </row>
    <row r="719" spans="2:48" ht="12.75">
      <c r="B719" s="33" t="s">
        <v>550</v>
      </c>
      <c r="C719" s="5" t="s">
        <v>551</v>
      </c>
      <c r="D719" s="10">
        <v>0.051</v>
      </c>
      <c r="E719" s="180">
        <v>38077</v>
      </c>
      <c r="F719" s="181">
        <v>38170</v>
      </c>
      <c r="G719" s="10">
        <v>0.03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263">
        <v>0.017</v>
      </c>
      <c r="P719" s="263">
        <v>0.017</v>
      </c>
      <c r="Q719" s="263">
        <v>0.017</v>
      </c>
      <c r="R719" s="13">
        <v>0</v>
      </c>
      <c r="S719" s="13">
        <v>0</v>
      </c>
      <c r="T719" s="5">
        <f t="shared" si="130"/>
        <v>0</v>
      </c>
      <c r="U719" s="5"/>
      <c r="V719" s="36"/>
      <c r="W719" s="36"/>
      <c r="X719" s="36"/>
      <c r="Y719" s="36"/>
      <c r="AA719" s="36">
        <f t="shared" si="133"/>
        <v>0.002</v>
      </c>
      <c r="AB719" s="37">
        <v>0.049</v>
      </c>
      <c r="AC719" s="56">
        <f t="shared" si="131"/>
        <v>0.051000000000000004</v>
      </c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>
        <v>0.002</v>
      </c>
      <c r="AQ719" s="37"/>
      <c r="AR719" s="37"/>
      <c r="AS719" s="37"/>
      <c r="AT719" s="37"/>
      <c r="AU719" s="37">
        <f t="shared" si="132"/>
        <v>0.002</v>
      </c>
      <c r="AV719" s="33" t="s">
        <v>1568</v>
      </c>
    </row>
    <row r="720" spans="2:48" ht="12.75">
      <c r="B720" s="33" t="s">
        <v>552</v>
      </c>
      <c r="C720" s="5" t="s">
        <v>553</v>
      </c>
      <c r="D720" s="10">
        <v>0.05</v>
      </c>
      <c r="E720" s="180"/>
      <c r="F720" s="181"/>
      <c r="G720" s="10"/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263">
        <v>0.01</v>
      </c>
      <c r="O720" s="263">
        <v>0.01</v>
      </c>
      <c r="P720" s="263">
        <v>0.01</v>
      </c>
      <c r="Q720" s="263">
        <v>0.01</v>
      </c>
      <c r="R720" s="263">
        <v>0.01</v>
      </c>
      <c r="S720" s="13">
        <v>0</v>
      </c>
      <c r="T720" s="5">
        <f t="shared" si="130"/>
        <v>0.01</v>
      </c>
      <c r="U720" s="5"/>
      <c r="V720" s="36"/>
      <c r="W720" s="36"/>
      <c r="X720" s="36"/>
      <c r="Y720" s="36"/>
      <c r="AA720" s="36">
        <f t="shared" si="133"/>
        <v>0</v>
      </c>
      <c r="AB720" s="37">
        <v>0.05</v>
      </c>
      <c r="AC720" s="56">
        <f t="shared" si="131"/>
        <v>0.05</v>
      </c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>
        <f t="shared" si="132"/>
        <v>0</v>
      </c>
      <c r="AV720" s="33" t="s">
        <v>1569</v>
      </c>
    </row>
    <row r="721" spans="2:47" ht="12.75">
      <c r="B721" s="33" t="s">
        <v>1613</v>
      </c>
      <c r="C721" s="5" t="s">
        <v>1428</v>
      </c>
      <c r="D721" s="10">
        <v>0.036</v>
      </c>
      <c r="E721" s="180">
        <v>38139</v>
      </c>
      <c r="F721" s="181">
        <v>38412</v>
      </c>
      <c r="G721" s="10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0.0356</v>
      </c>
      <c r="T721" s="5">
        <f t="shared" si="130"/>
        <v>0</v>
      </c>
      <c r="U721" s="5"/>
      <c r="V721" s="36"/>
      <c r="W721" s="36"/>
      <c r="X721" s="36"/>
      <c r="Y721" s="36"/>
      <c r="Z721" s="36">
        <f>0.026+0.01</f>
        <v>0.036</v>
      </c>
      <c r="AA721" s="36">
        <f>SUM(AE721:AT721)</f>
        <v>0</v>
      </c>
      <c r="AB721" s="37"/>
      <c r="AC721" s="56">
        <f t="shared" si="131"/>
        <v>0.036</v>
      </c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>
        <f t="shared" si="132"/>
        <v>0</v>
      </c>
    </row>
    <row r="722" spans="2:47" ht="13.5" thickBot="1">
      <c r="B722" s="33" t="s">
        <v>1549</v>
      </c>
      <c r="C722" s="5" t="s">
        <v>1471</v>
      </c>
      <c r="D722" s="10">
        <v>0.015</v>
      </c>
      <c r="E722" s="180"/>
      <c r="F722" s="181"/>
      <c r="G722" s="10"/>
      <c r="H722" s="91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0.0014285714285714286</v>
      </c>
      <c r="N722" s="263">
        <v>0.0014285714285714286</v>
      </c>
      <c r="O722" s="263">
        <v>0.0014285714285714286</v>
      </c>
      <c r="P722" s="263">
        <v>0.0014285714285714286</v>
      </c>
      <c r="Q722" s="263">
        <v>0.006</v>
      </c>
      <c r="R722" s="263">
        <v>0.0014285714285714286</v>
      </c>
      <c r="S722" s="263">
        <v>0.0014</v>
      </c>
      <c r="T722" s="5">
        <f t="shared" si="130"/>
        <v>0.002857142857142857</v>
      </c>
      <c r="U722" s="5"/>
      <c r="V722" s="36"/>
      <c r="W722" s="36"/>
      <c r="X722" s="36"/>
      <c r="Y722" s="36">
        <v>0.005</v>
      </c>
      <c r="Z722" s="36">
        <v>0.01</v>
      </c>
      <c r="AA722" s="36">
        <f>SUM(AE722:AT722)</f>
        <v>0</v>
      </c>
      <c r="AB722" s="37"/>
      <c r="AC722" s="56">
        <f t="shared" si="131"/>
        <v>0.015</v>
      </c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>
        <f t="shared" si="132"/>
        <v>0</v>
      </c>
    </row>
    <row r="723" spans="3:47" ht="13.5" thickBot="1">
      <c r="C723" s="8" t="s">
        <v>1371</v>
      </c>
      <c r="D723" s="25">
        <f>SUM(D695:D722)</f>
        <v>1.213</v>
      </c>
      <c r="E723" s="175"/>
      <c r="F723" s="176"/>
      <c r="G723" s="25">
        <f aca="true" t="shared" si="134" ref="G723:T723">SUM(G695:G722)</f>
        <v>0.43700000000000006</v>
      </c>
      <c r="H723" s="98">
        <f t="shared" si="134"/>
        <v>0.15200000000000002</v>
      </c>
      <c r="I723" s="99">
        <f t="shared" si="134"/>
        <v>0.008000000000000002</v>
      </c>
      <c r="J723" s="99">
        <f t="shared" si="134"/>
        <v>0.008000000000000002</v>
      </c>
      <c r="K723" s="99">
        <f t="shared" si="134"/>
        <v>0.008000000000000002</v>
      </c>
      <c r="L723" s="99">
        <f t="shared" si="134"/>
        <v>0.018000000000000002</v>
      </c>
      <c r="M723" s="99">
        <f t="shared" si="134"/>
        <v>0.06085714285714285</v>
      </c>
      <c r="N723" s="99">
        <f t="shared" si="134"/>
        <v>0.10485714285714284</v>
      </c>
      <c r="O723" s="99">
        <f t="shared" si="134"/>
        <v>0.16685714285714284</v>
      </c>
      <c r="P723" s="99">
        <f t="shared" si="134"/>
        <v>0.19085714285714286</v>
      </c>
      <c r="Q723" s="99">
        <f t="shared" si="134"/>
        <v>0.23042857142857148</v>
      </c>
      <c r="R723" s="99">
        <f t="shared" si="134"/>
        <v>0.20885714285714288</v>
      </c>
      <c r="S723" s="99">
        <f t="shared" si="134"/>
        <v>0.13352857142857144</v>
      </c>
      <c r="T723" s="25">
        <f t="shared" si="134"/>
        <v>0.3597142857142857</v>
      </c>
      <c r="V723" s="30">
        <f aca="true" t="shared" si="135" ref="V723:AB723">SUM(V695:V721)</f>
        <v>0.153</v>
      </c>
      <c r="W723" s="30">
        <f t="shared" si="135"/>
        <v>0.126</v>
      </c>
      <c r="X723" s="30">
        <f t="shared" si="135"/>
        <v>0</v>
      </c>
      <c r="Y723" s="30">
        <f>SUM(Y695:Y722)</f>
        <v>0.1</v>
      </c>
      <c r="Z723" s="30">
        <f>SUM(Z695:Z722)</f>
        <v>0.308</v>
      </c>
      <c r="AA723" s="30">
        <f t="shared" si="135"/>
        <v>0.33299999999999996</v>
      </c>
      <c r="AB723" s="30">
        <f t="shared" si="135"/>
        <v>0.193</v>
      </c>
      <c r="AC723" s="102">
        <f>SUM(V723:AB723)</f>
        <v>1.213</v>
      </c>
      <c r="AE723" s="39">
        <f aca="true" t="shared" si="136" ref="AE723:AT723">SUM(AE695:AE721)</f>
        <v>0</v>
      </c>
      <c r="AF723" s="39">
        <f t="shared" si="136"/>
        <v>0</v>
      </c>
      <c r="AG723" s="39">
        <f t="shared" si="136"/>
        <v>0</v>
      </c>
      <c r="AH723" s="39">
        <f t="shared" si="136"/>
        <v>0</v>
      </c>
      <c r="AI723" s="39">
        <f t="shared" si="136"/>
        <v>0</v>
      </c>
      <c r="AJ723" s="39">
        <f t="shared" si="136"/>
        <v>0</v>
      </c>
      <c r="AK723" s="39">
        <f t="shared" si="136"/>
        <v>0</v>
      </c>
      <c r="AL723" s="39">
        <f t="shared" si="136"/>
        <v>0</v>
      </c>
      <c r="AM723" s="39">
        <f t="shared" si="136"/>
        <v>0</v>
      </c>
      <c r="AN723" s="39">
        <f t="shared" si="136"/>
        <v>0</v>
      </c>
      <c r="AO723" s="39">
        <f t="shared" si="136"/>
        <v>0</v>
      </c>
      <c r="AP723" s="39">
        <f t="shared" si="136"/>
        <v>0.18200000000000002</v>
      </c>
      <c r="AQ723" s="39">
        <f t="shared" si="136"/>
        <v>0</v>
      </c>
      <c r="AR723" s="39">
        <f t="shared" si="136"/>
        <v>0</v>
      </c>
      <c r="AS723" s="39">
        <f t="shared" si="136"/>
        <v>0</v>
      </c>
      <c r="AT723" s="39">
        <f t="shared" si="136"/>
        <v>0.151</v>
      </c>
      <c r="AU723" s="37">
        <f>SUM(AE723:AT723)</f>
        <v>0.333</v>
      </c>
    </row>
    <row r="724" spans="3:47" ht="12.75">
      <c r="C724" s="8"/>
      <c r="D724" s="8"/>
      <c r="E724" s="182"/>
      <c r="F724" s="183"/>
      <c r="G724" s="243"/>
      <c r="H724" s="91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95"/>
      <c r="T724" s="87"/>
      <c r="V724" s="36"/>
      <c r="W724" s="36"/>
      <c r="X724" s="36"/>
      <c r="Y724" s="36"/>
      <c r="Z724" s="36"/>
      <c r="AA724" s="36"/>
      <c r="AB724" s="37"/>
      <c r="AC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>
        <f>SUM(AE724:AT724)</f>
        <v>0</v>
      </c>
    </row>
    <row r="725" spans="3:47" ht="12.75">
      <c r="C725" s="8" t="s">
        <v>1374</v>
      </c>
      <c r="D725" s="8"/>
      <c r="E725" s="182"/>
      <c r="F725" s="183"/>
      <c r="G725" s="243"/>
      <c r="H725" s="91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95"/>
      <c r="T725" s="87"/>
      <c r="V725" s="36"/>
      <c r="W725" s="36"/>
      <c r="X725" s="36"/>
      <c r="Y725" s="36"/>
      <c r="Z725" s="36"/>
      <c r="AA725" s="36"/>
      <c r="AB725" s="37"/>
      <c r="AC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>
        <f>SUM(AE725:AT725)</f>
        <v>0</v>
      </c>
    </row>
    <row r="726" spans="2:47" ht="12.75">
      <c r="B726" s="33" t="s">
        <v>1585</v>
      </c>
      <c r="C726" s="5" t="s">
        <v>1583</v>
      </c>
      <c r="D726" s="10">
        <v>0.06</v>
      </c>
      <c r="E726" s="180">
        <v>38231</v>
      </c>
      <c r="F726" s="181">
        <v>38412</v>
      </c>
      <c r="G726" s="10">
        <v>0.03</v>
      </c>
      <c r="H726" s="91">
        <v>0.03</v>
      </c>
      <c r="I726" s="13">
        <v>0</v>
      </c>
      <c r="J726" s="13">
        <v>0</v>
      </c>
      <c r="K726" s="13">
        <v>0</v>
      </c>
      <c r="L726" s="13">
        <v>0</v>
      </c>
      <c r="M726" s="13">
        <v>0.004285714285714286</v>
      </c>
      <c r="N726" s="13">
        <v>0.004285714285714286</v>
      </c>
      <c r="O726" s="13">
        <v>0.004285714285714286</v>
      </c>
      <c r="P726" s="13">
        <v>0.004285714285714286</v>
      </c>
      <c r="Q726" s="13">
        <v>0.004285714285714286</v>
      </c>
      <c r="R726" s="13">
        <v>0.004285714285714286</v>
      </c>
      <c r="S726" s="13">
        <v>0.004285714285714286</v>
      </c>
      <c r="T726" s="5">
        <f aca="true" t="shared" si="137" ref="T726:T742">SUM(H726:N726)</f>
        <v>0.038571428571428576</v>
      </c>
      <c r="V726" s="36"/>
      <c r="W726" s="36"/>
      <c r="X726" s="36"/>
      <c r="Y726" s="36"/>
      <c r="Z726" s="36">
        <v>0.06</v>
      </c>
      <c r="AA726" s="36"/>
      <c r="AB726" s="37"/>
      <c r="AC726" s="37">
        <f aca="true" t="shared" si="138" ref="AC726:AC742">SUM(V726:AB726)</f>
        <v>0.06</v>
      </c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</row>
    <row r="727" spans="2:47" ht="12.75">
      <c r="B727" s="33" t="s">
        <v>1582</v>
      </c>
      <c r="C727" s="5" t="s">
        <v>1388</v>
      </c>
      <c r="D727" s="10">
        <f>0.1+0.074</f>
        <v>0.174</v>
      </c>
      <c r="E727" s="180">
        <v>38231</v>
      </c>
      <c r="F727" s="181">
        <v>38412</v>
      </c>
      <c r="G727" s="10">
        <v>0.006</v>
      </c>
      <c r="H727" s="91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0.024857142857142855</v>
      </c>
      <c r="N727" s="13">
        <v>0.024857142857142855</v>
      </c>
      <c r="O727" s="13">
        <v>0.024857142857142855</v>
      </c>
      <c r="P727" s="13">
        <v>0.024857142857142855</v>
      </c>
      <c r="Q727" s="13">
        <v>0.024857142857142855</v>
      </c>
      <c r="R727" s="13">
        <v>0.024857142857142855</v>
      </c>
      <c r="S727" s="13">
        <v>0.024857142857142855</v>
      </c>
      <c r="T727" s="5">
        <f t="shared" si="137"/>
        <v>0.04971428571428571</v>
      </c>
      <c r="V727" s="36"/>
      <c r="W727" s="36"/>
      <c r="X727" s="36"/>
      <c r="Y727" s="36"/>
      <c r="Z727" s="36">
        <f>0.1+0.074</f>
        <v>0.174</v>
      </c>
      <c r="AA727" s="36">
        <f>SUM(AE727:AT727)</f>
        <v>0</v>
      </c>
      <c r="AB727" s="37"/>
      <c r="AC727" s="37">
        <f>SUM(V727:AB727)</f>
        <v>0.174</v>
      </c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>
        <f>SUM(AE727:AT727)</f>
        <v>0</v>
      </c>
    </row>
    <row r="728" spans="2:47" ht="12.75">
      <c r="B728" s="33" t="s">
        <v>1586</v>
      </c>
      <c r="C728" s="5" t="s">
        <v>1584</v>
      </c>
      <c r="D728" s="10">
        <f>0.038+0.034</f>
        <v>0.07200000000000001</v>
      </c>
      <c r="E728" s="180">
        <v>38231</v>
      </c>
      <c r="F728" s="181">
        <v>38412</v>
      </c>
      <c r="G728" s="10">
        <v>0.062</v>
      </c>
      <c r="H728" s="13">
        <v>0.032</v>
      </c>
      <c r="I728" s="13">
        <v>0</v>
      </c>
      <c r="J728" s="13">
        <v>0</v>
      </c>
      <c r="K728" s="13">
        <v>0</v>
      </c>
      <c r="L728" s="13">
        <v>0</v>
      </c>
      <c r="M728" s="13">
        <v>0.005714285714285715</v>
      </c>
      <c r="N728" s="13">
        <v>0.005714285714285715</v>
      </c>
      <c r="O728" s="13">
        <v>0.005714285714285715</v>
      </c>
      <c r="P728" s="13">
        <v>0.005714285714285715</v>
      </c>
      <c r="Q728" s="13">
        <v>0.005714285714285715</v>
      </c>
      <c r="R728" s="13">
        <v>0.005714285714285715</v>
      </c>
      <c r="S728" s="13">
        <v>0.005714285714285715</v>
      </c>
      <c r="T728" s="5">
        <f t="shared" si="137"/>
        <v>0.04342857142857143</v>
      </c>
      <c r="V728" s="36"/>
      <c r="W728" s="36"/>
      <c r="X728" s="36"/>
      <c r="Y728" s="36"/>
      <c r="Z728" s="36">
        <f>0.038+0.034</f>
        <v>0.07200000000000001</v>
      </c>
      <c r="AA728" s="36">
        <f>SUM(AE728:AT728)</f>
        <v>0</v>
      </c>
      <c r="AB728" s="37"/>
      <c r="AC728" s="37">
        <f t="shared" si="138"/>
        <v>0.07200000000000001</v>
      </c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>
        <f>SUM(AE728:AT728)</f>
        <v>0</v>
      </c>
    </row>
    <row r="729" spans="2:48" ht="12.75">
      <c r="B729" s="33" t="s">
        <v>1592</v>
      </c>
      <c r="C729" s="5" t="s">
        <v>1454</v>
      </c>
      <c r="D729" s="10"/>
      <c r="G729" s="5"/>
      <c r="T729" s="5">
        <f t="shared" si="137"/>
        <v>0</v>
      </c>
      <c r="V729" s="36"/>
      <c r="W729" s="36"/>
      <c r="X729" s="36"/>
      <c r="Y729" s="36"/>
      <c r="Z729" s="36"/>
      <c r="AA729" s="36">
        <f>SUM(AE729:AT729)</f>
        <v>0</v>
      </c>
      <c r="AB729" s="37"/>
      <c r="AC729" s="37">
        <f>SUM(V729:AB729)</f>
        <v>0</v>
      </c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>
        <f>SUM(AE729:AT729)</f>
        <v>0</v>
      </c>
      <c r="AV729" s="33" t="s">
        <v>1455</v>
      </c>
    </row>
    <row r="730" spans="2:47" ht="12.75">
      <c r="B730" s="33" t="s">
        <v>1191</v>
      </c>
      <c r="C730" s="5" t="s">
        <v>1194</v>
      </c>
      <c r="D730" s="10">
        <v>0.106</v>
      </c>
      <c r="E730" s="169">
        <v>38292</v>
      </c>
      <c r="F730" s="169">
        <v>38322</v>
      </c>
      <c r="G730" s="5"/>
      <c r="H730" s="6"/>
      <c r="P730" s="6">
        <v>0.106</v>
      </c>
      <c r="T730" s="5">
        <f t="shared" si="137"/>
        <v>0</v>
      </c>
      <c r="V730" s="36"/>
      <c r="W730" s="36"/>
      <c r="X730" s="36"/>
      <c r="Y730" s="36"/>
      <c r="Z730" s="36"/>
      <c r="AA730" s="36">
        <f>SUM(AE730:AT730)</f>
        <v>0.106</v>
      </c>
      <c r="AB730" s="37"/>
      <c r="AC730" s="37">
        <f>SUM(V730:AB730)</f>
        <v>0.106</v>
      </c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>
        <v>0.106</v>
      </c>
      <c r="AQ730" s="37"/>
      <c r="AR730" s="37"/>
      <c r="AS730" s="37"/>
      <c r="AT730" s="37"/>
      <c r="AU730" s="37">
        <f>SUM(AE730:AT730)</f>
        <v>0.106</v>
      </c>
    </row>
    <row r="731" spans="2:48" ht="12.75">
      <c r="B731" s="33" t="s">
        <v>120</v>
      </c>
      <c r="C731" s="5" t="s">
        <v>121</v>
      </c>
      <c r="D731" s="10">
        <v>0.016</v>
      </c>
      <c r="E731" s="180">
        <v>38231</v>
      </c>
      <c r="F731" s="181">
        <v>38412</v>
      </c>
      <c r="G731" s="10">
        <v>0.012</v>
      </c>
      <c r="H731" s="13">
        <v>0.005</v>
      </c>
      <c r="I731" s="13">
        <v>0</v>
      </c>
      <c r="J731" s="13">
        <v>0</v>
      </c>
      <c r="K731" s="13">
        <v>0</v>
      </c>
      <c r="L731" s="13">
        <v>0</v>
      </c>
      <c r="M731" s="13">
        <v>0.0015714285714285713</v>
      </c>
      <c r="N731" s="13">
        <v>0.0015714285714285713</v>
      </c>
      <c r="O731" s="13">
        <v>0.0015714285714285713</v>
      </c>
      <c r="P731" s="13">
        <v>0.0015714285714285713</v>
      </c>
      <c r="Q731" s="13">
        <v>0.0015714285714285713</v>
      </c>
      <c r="R731" s="13">
        <v>0.0015714285714285713</v>
      </c>
      <c r="S731" s="13">
        <v>0.0015714285714285713</v>
      </c>
      <c r="T731" s="5">
        <f t="shared" si="137"/>
        <v>0.008142857142857143</v>
      </c>
      <c r="V731" s="36"/>
      <c r="W731" s="36"/>
      <c r="X731" s="36"/>
      <c r="Y731" s="36"/>
      <c r="Z731" s="36"/>
      <c r="AA731" s="36">
        <f>SUM(AE731:AT731)</f>
        <v>0</v>
      </c>
      <c r="AB731" s="37">
        <v>0.016</v>
      </c>
      <c r="AC731" s="37">
        <f>SUM(V731:AB731)</f>
        <v>0.016</v>
      </c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>
        <f>SUM(AE731:AT731)</f>
        <v>0</v>
      </c>
      <c r="AV731" s="33" t="s">
        <v>122</v>
      </c>
    </row>
    <row r="732" spans="2:48" ht="12.75">
      <c r="B732" s="33" t="s">
        <v>689</v>
      </c>
      <c r="C732" s="5" t="s">
        <v>690</v>
      </c>
      <c r="D732" s="10">
        <v>0.005</v>
      </c>
      <c r="E732" s="180"/>
      <c r="F732" s="181"/>
      <c r="G732" s="10"/>
      <c r="H732" s="91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5">
        <f t="shared" si="137"/>
        <v>0</v>
      </c>
      <c r="V732" s="36"/>
      <c r="W732" s="36"/>
      <c r="X732" s="36"/>
      <c r="Y732" s="36"/>
      <c r="Z732" s="36"/>
      <c r="AA732" s="36"/>
      <c r="AB732" s="37">
        <v>0.005</v>
      </c>
      <c r="AC732" s="37">
        <f>SUM(V732:AB732)</f>
        <v>0.005</v>
      </c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3" t="s">
        <v>691</v>
      </c>
    </row>
    <row r="733" spans="2:48" ht="12.75">
      <c r="B733" s="33" t="s">
        <v>115</v>
      </c>
      <c r="C733" s="5" t="s">
        <v>117</v>
      </c>
      <c r="D733" s="10">
        <v>0.011</v>
      </c>
      <c r="E733" s="180"/>
      <c r="F733" s="181"/>
      <c r="G733" s="10">
        <v>0.011</v>
      </c>
      <c r="H733" s="91">
        <v>0.011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5">
        <f t="shared" si="137"/>
        <v>0.011</v>
      </c>
      <c r="V733" s="36"/>
      <c r="W733" s="36"/>
      <c r="X733" s="36"/>
      <c r="Y733" s="36"/>
      <c r="Z733" s="36"/>
      <c r="AA733" s="36"/>
      <c r="AB733" s="37">
        <v>0.011</v>
      </c>
      <c r="AC733" s="37">
        <f t="shared" si="138"/>
        <v>0.011</v>
      </c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>
        <f aca="true" t="shared" si="139" ref="AU733:AU743">SUM(AE733:AT733)</f>
        <v>0</v>
      </c>
      <c r="AV733" s="33" t="s">
        <v>118</v>
      </c>
    </row>
    <row r="734" spans="2:48" ht="12.75">
      <c r="B734" s="33" t="s">
        <v>116</v>
      </c>
      <c r="C734" s="5" t="s">
        <v>1177</v>
      </c>
      <c r="D734" s="10">
        <v>0.024</v>
      </c>
      <c r="E734" s="180">
        <v>38231</v>
      </c>
      <c r="F734" s="181">
        <v>38412</v>
      </c>
      <c r="G734" s="10"/>
      <c r="H734" s="91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0.003428571428571429</v>
      </c>
      <c r="N734" s="13">
        <v>0.003428571428571429</v>
      </c>
      <c r="O734" s="13">
        <v>0.003428571428571429</v>
      </c>
      <c r="P734" s="13">
        <v>0.003428571428571429</v>
      </c>
      <c r="Q734" s="13">
        <v>0.003428571428571429</v>
      </c>
      <c r="R734" s="13">
        <v>0.003428571428571429</v>
      </c>
      <c r="S734" s="13">
        <v>0.003428571428571429</v>
      </c>
      <c r="T734" s="5">
        <f t="shared" si="137"/>
        <v>0.006857142857142858</v>
      </c>
      <c r="V734" s="36"/>
      <c r="W734" s="36"/>
      <c r="X734" s="36"/>
      <c r="Y734" s="36"/>
      <c r="Z734" s="36"/>
      <c r="AA734" s="36"/>
      <c r="AB734" s="37">
        <v>0.024</v>
      </c>
      <c r="AC734" s="37">
        <f t="shared" si="138"/>
        <v>0.024</v>
      </c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>
        <f t="shared" si="139"/>
        <v>0</v>
      </c>
      <c r="AV734" s="33" t="s">
        <v>119</v>
      </c>
    </row>
    <row r="735" spans="2:48" ht="12.75">
      <c r="B735" s="33" t="s">
        <v>1192</v>
      </c>
      <c r="C735" s="5" t="s">
        <v>1196</v>
      </c>
      <c r="D735" s="10">
        <v>0.04</v>
      </c>
      <c r="E735" s="180">
        <v>38292</v>
      </c>
      <c r="F735" s="181">
        <v>38353</v>
      </c>
      <c r="G735" s="10"/>
      <c r="H735" s="91"/>
      <c r="I735" s="13"/>
      <c r="J735" s="13"/>
      <c r="K735" s="13"/>
      <c r="L735" s="13"/>
      <c r="M735" s="13"/>
      <c r="N735" s="13"/>
      <c r="O735" s="13"/>
      <c r="P735" s="13"/>
      <c r="Q735" s="13">
        <v>0.02</v>
      </c>
      <c r="R735" s="13">
        <v>0.02</v>
      </c>
      <c r="S735" s="13"/>
      <c r="T735" s="5">
        <f t="shared" si="137"/>
        <v>0</v>
      </c>
      <c r="V735" s="36"/>
      <c r="W735" s="36"/>
      <c r="X735" s="36"/>
      <c r="Y735" s="36"/>
      <c r="Z735" s="36"/>
      <c r="AA735" s="36">
        <f aca="true" t="shared" si="140" ref="AA735:AA742">SUM(AE735:AT735)</f>
        <v>0</v>
      </c>
      <c r="AB735" s="37">
        <v>0.04</v>
      </c>
      <c r="AC735" s="37">
        <f>SUM(V735:AB735)</f>
        <v>0.04</v>
      </c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3" t="s">
        <v>1190</v>
      </c>
    </row>
    <row r="736" spans="2:47" ht="12.75">
      <c r="B736" s="33" t="s">
        <v>286</v>
      </c>
      <c r="C736" s="5" t="s">
        <v>287</v>
      </c>
      <c r="D736" s="10">
        <v>0.024</v>
      </c>
      <c r="E736" s="180"/>
      <c r="F736" s="181"/>
      <c r="G736" s="10"/>
      <c r="H736" s="91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5"/>
      <c r="V736" s="36"/>
      <c r="W736" s="36"/>
      <c r="X736" s="36"/>
      <c r="Y736" s="36"/>
      <c r="Z736" s="36"/>
      <c r="AA736" s="36">
        <f t="shared" si="140"/>
        <v>0</v>
      </c>
      <c r="AB736" s="37">
        <v>0.024</v>
      </c>
      <c r="AC736" s="37">
        <f>SUM(V736:AB736)</f>
        <v>0.024</v>
      </c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</row>
    <row r="737" spans="2:47" ht="12.75">
      <c r="B737" s="33" t="s">
        <v>1588</v>
      </c>
      <c r="C737" s="5" t="s">
        <v>1429</v>
      </c>
      <c r="D737" s="10">
        <v>0.05</v>
      </c>
      <c r="E737" s="180">
        <v>38231</v>
      </c>
      <c r="F737" s="181">
        <v>38412</v>
      </c>
      <c r="G737" s="10"/>
      <c r="H737" s="91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0.0071428571428571435</v>
      </c>
      <c r="N737" s="13">
        <v>0.0071428571428571435</v>
      </c>
      <c r="O737" s="13">
        <v>0.0071428571428571435</v>
      </c>
      <c r="P737" s="13">
        <v>0.0071428571428571435</v>
      </c>
      <c r="Q737" s="13">
        <v>0.0071428571428571435</v>
      </c>
      <c r="R737" s="13">
        <v>0.0071428571428571435</v>
      </c>
      <c r="S737" s="13">
        <v>0.0071428571428571435</v>
      </c>
      <c r="T737" s="5">
        <f t="shared" si="137"/>
        <v>0.014285714285714287</v>
      </c>
      <c r="V737" s="36"/>
      <c r="W737" s="36"/>
      <c r="X737" s="36"/>
      <c r="Y737" s="36"/>
      <c r="Z737" s="36">
        <v>0.05</v>
      </c>
      <c r="AA737" s="36">
        <f t="shared" si="140"/>
        <v>0</v>
      </c>
      <c r="AB737" s="37"/>
      <c r="AC737" s="37">
        <f t="shared" si="138"/>
        <v>0.05</v>
      </c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>
        <f t="shared" si="139"/>
        <v>0</v>
      </c>
    </row>
    <row r="738" spans="2:47" ht="12.75">
      <c r="B738" s="33" t="s">
        <v>1587</v>
      </c>
      <c r="C738" s="5" t="s">
        <v>1430</v>
      </c>
      <c r="D738" s="10">
        <v>0.1</v>
      </c>
      <c r="E738" s="180">
        <v>38231</v>
      </c>
      <c r="F738" s="181">
        <v>38412</v>
      </c>
      <c r="G738" s="10"/>
      <c r="H738" s="91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0.014285714285714287</v>
      </c>
      <c r="N738" s="13">
        <v>0.014285714285714287</v>
      </c>
      <c r="O738" s="13">
        <v>0.014285714285714287</v>
      </c>
      <c r="P738" s="13">
        <v>0.014285714285714287</v>
      </c>
      <c r="Q738" s="13">
        <v>0.014285714285714287</v>
      </c>
      <c r="R738" s="13">
        <v>0.014285714285714287</v>
      </c>
      <c r="S738" s="13">
        <v>0.014285714285714287</v>
      </c>
      <c r="T738" s="5">
        <f t="shared" si="137"/>
        <v>0.028571428571428574</v>
      </c>
      <c r="V738" s="36"/>
      <c r="W738" s="36"/>
      <c r="X738" s="36"/>
      <c r="Y738" s="36"/>
      <c r="Z738" s="36">
        <v>0.1</v>
      </c>
      <c r="AA738" s="36">
        <f t="shared" si="140"/>
        <v>0</v>
      </c>
      <c r="AB738" s="37"/>
      <c r="AC738" s="37">
        <f t="shared" si="138"/>
        <v>0.1</v>
      </c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>
        <f t="shared" si="139"/>
        <v>0</v>
      </c>
    </row>
    <row r="739" spans="2:47" ht="12.75">
      <c r="B739" s="33" t="s">
        <v>1589</v>
      </c>
      <c r="C739" s="5" t="s">
        <v>1431</v>
      </c>
      <c r="D739" s="10">
        <v>0.03</v>
      </c>
      <c r="E739" s="180">
        <v>38231</v>
      </c>
      <c r="F739" s="181">
        <v>38412</v>
      </c>
      <c r="G739" s="10"/>
      <c r="H739" s="91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0.004285714285714286</v>
      </c>
      <c r="N739" s="13">
        <v>0.004285714285714286</v>
      </c>
      <c r="O739" s="13">
        <v>0.004285714285714286</v>
      </c>
      <c r="P739" s="13">
        <v>0.004285714285714286</v>
      </c>
      <c r="Q739" s="13">
        <v>0.004285714285714286</v>
      </c>
      <c r="R739" s="13">
        <v>0.004285714285714286</v>
      </c>
      <c r="S739" s="13">
        <v>0.004285714285714286</v>
      </c>
      <c r="T739" s="5">
        <f t="shared" si="137"/>
        <v>0.008571428571428572</v>
      </c>
      <c r="V739" s="36"/>
      <c r="W739" s="36"/>
      <c r="X739" s="36"/>
      <c r="Y739" s="36"/>
      <c r="Z739" s="36">
        <v>0.03</v>
      </c>
      <c r="AA739" s="36">
        <f t="shared" si="140"/>
        <v>0</v>
      </c>
      <c r="AB739" s="37"/>
      <c r="AC739" s="37">
        <f t="shared" si="138"/>
        <v>0.03</v>
      </c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>
        <f t="shared" si="139"/>
        <v>0</v>
      </c>
    </row>
    <row r="740" spans="2:47" ht="12.75">
      <c r="B740" s="33" t="s">
        <v>1590</v>
      </c>
      <c r="C740" s="5" t="s">
        <v>1591</v>
      </c>
      <c r="D740" s="10">
        <f>0.039-0.006</f>
        <v>0.033</v>
      </c>
      <c r="E740" s="180">
        <v>38231</v>
      </c>
      <c r="F740" s="181">
        <v>38412</v>
      </c>
      <c r="G740" s="10">
        <v>0.019</v>
      </c>
      <c r="H740" s="91">
        <v>0.015</v>
      </c>
      <c r="I740" s="13">
        <v>0</v>
      </c>
      <c r="J740" s="13">
        <v>0</v>
      </c>
      <c r="K740" s="13">
        <v>0</v>
      </c>
      <c r="L740" s="13">
        <v>0</v>
      </c>
      <c r="M740" s="13">
        <v>0.002</v>
      </c>
      <c r="N740" s="13">
        <v>0.002</v>
      </c>
      <c r="O740" s="13">
        <v>0.002</v>
      </c>
      <c r="P740" s="13">
        <v>0.002</v>
      </c>
      <c r="Q740" s="13">
        <v>0.002</v>
      </c>
      <c r="R740" s="13">
        <v>0.002</v>
      </c>
      <c r="S740" s="13">
        <v>0.002</v>
      </c>
      <c r="T740" s="5">
        <f t="shared" si="137"/>
        <v>0.019000000000000003</v>
      </c>
      <c r="V740" s="36"/>
      <c r="W740" s="36">
        <f>0.039-0.006</f>
        <v>0.033</v>
      </c>
      <c r="X740" s="36"/>
      <c r="Y740" s="36"/>
      <c r="Z740" s="36"/>
      <c r="AA740" s="36">
        <f t="shared" si="140"/>
        <v>0</v>
      </c>
      <c r="AB740" s="37"/>
      <c r="AC740" s="37">
        <f t="shared" si="138"/>
        <v>0.033</v>
      </c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>
        <f t="shared" si="139"/>
        <v>0</v>
      </c>
    </row>
    <row r="741" spans="2:48" ht="12.75">
      <c r="B741" s="33" t="s">
        <v>1193</v>
      </c>
      <c r="C741" s="5" t="s">
        <v>1195</v>
      </c>
      <c r="D741" s="10">
        <v>0.024</v>
      </c>
      <c r="E741" s="180">
        <v>38292</v>
      </c>
      <c r="F741" s="181">
        <v>38322</v>
      </c>
      <c r="G741" s="10"/>
      <c r="H741" s="91"/>
      <c r="I741" s="13"/>
      <c r="J741" s="13"/>
      <c r="K741" s="13"/>
      <c r="L741" s="13"/>
      <c r="M741" s="13"/>
      <c r="N741" s="13"/>
      <c r="O741" s="13"/>
      <c r="P741" s="13">
        <v>0.024</v>
      </c>
      <c r="Q741" s="13"/>
      <c r="R741" s="13"/>
      <c r="S741" s="13"/>
      <c r="T741" s="5">
        <f t="shared" si="137"/>
        <v>0</v>
      </c>
      <c r="V741" s="247"/>
      <c r="W741" s="36"/>
      <c r="X741" s="36"/>
      <c r="Y741" s="36"/>
      <c r="Z741" s="36"/>
      <c r="AA741" s="36">
        <f t="shared" si="140"/>
        <v>0</v>
      </c>
      <c r="AB741" s="37">
        <v>0.024</v>
      </c>
      <c r="AC741" s="37">
        <f>SUM(V741:AB741)</f>
        <v>0.024</v>
      </c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3" t="s">
        <v>1190</v>
      </c>
    </row>
    <row r="742" spans="2:47" ht="13.5" thickBot="1">
      <c r="B742" s="33" t="s">
        <v>426</v>
      </c>
      <c r="C742" s="5" t="s">
        <v>427</v>
      </c>
      <c r="D742" s="10">
        <v>0.052</v>
      </c>
      <c r="E742" s="180"/>
      <c r="F742" s="181"/>
      <c r="G742" s="10">
        <v>0.052</v>
      </c>
      <c r="H742" s="91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5">
        <f t="shared" si="137"/>
        <v>0</v>
      </c>
      <c r="V742" s="247"/>
      <c r="W742" s="36"/>
      <c r="X742" s="36"/>
      <c r="Y742" s="36"/>
      <c r="Z742" s="36"/>
      <c r="AA742" s="36">
        <f t="shared" si="140"/>
        <v>0</v>
      </c>
      <c r="AB742" s="33">
        <v>0.052</v>
      </c>
      <c r="AC742" s="37">
        <f t="shared" si="138"/>
        <v>0.052</v>
      </c>
      <c r="AE742" s="151"/>
      <c r="AF742" s="151"/>
      <c r="AG742" s="151"/>
      <c r="AH742" s="151"/>
      <c r="AI742" s="151"/>
      <c r="AJ742" s="151"/>
      <c r="AK742" s="151"/>
      <c r="AL742" s="151"/>
      <c r="AM742" s="151"/>
      <c r="AN742" s="151"/>
      <c r="AO742" s="151"/>
      <c r="AP742" s="151"/>
      <c r="AQ742" s="151"/>
      <c r="AR742" s="151"/>
      <c r="AS742" s="151"/>
      <c r="AT742" s="151"/>
      <c r="AU742" s="37">
        <f t="shared" si="139"/>
        <v>0</v>
      </c>
    </row>
    <row r="743" spans="3:47" ht="13.5" thickBot="1">
      <c r="C743" s="8" t="s">
        <v>1432</v>
      </c>
      <c r="D743" s="25">
        <f>SUM(D726:D742)</f>
        <v>0.8210000000000002</v>
      </c>
      <c r="E743" s="175"/>
      <c r="F743" s="176"/>
      <c r="G743" s="25">
        <f aca="true" t="shared" si="141" ref="G743:T743">SUM(G726:G742)</f>
        <v>0.19199999999999998</v>
      </c>
      <c r="H743" s="98">
        <f t="shared" si="141"/>
        <v>0.093</v>
      </c>
      <c r="I743" s="99">
        <f t="shared" si="141"/>
        <v>0</v>
      </c>
      <c r="J743" s="99">
        <f t="shared" si="141"/>
        <v>0</v>
      </c>
      <c r="K743" s="99">
        <f t="shared" si="141"/>
        <v>0</v>
      </c>
      <c r="L743" s="99">
        <f t="shared" si="141"/>
        <v>0</v>
      </c>
      <c r="M743" s="99">
        <f t="shared" si="141"/>
        <v>0.06757142857142857</v>
      </c>
      <c r="N743" s="99">
        <f t="shared" si="141"/>
        <v>0.06757142857142857</v>
      </c>
      <c r="O743" s="99">
        <f t="shared" si="141"/>
        <v>0.06757142857142857</v>
      </c>
      <c r="P743" s="99">
        <f t="shared" si="141"/>
        <v>0.19757142857142856</v>
      </c>
      <c r="Q743" s="99">
        <f t="shared" si="141"/>
        <v>0.08757142857142858</v>
      </c>
      <c r="R743" s="99">
        <f t="shared" si="141"/>
        <v>0.08757142857142858</v>
      </c>
      <c r="S743" s="99">
        <f t="shared" si="141"/>
        <v>0.06757142857142857</v>
      </c>
      <c r="T743" s="25">
        <f t="shared" si="141"/>
        <v>0.2281428571428572</v>
      </c>
      <c r="V743" s="248">
        <f aca="true" t="shared" si="142" ref="V743:AB743">SUM(V726:V742)</f>
        <v>0</v>
      </c>
      <c r="W743" s="25">
        <f t="shared" si="142"/>
        <v>0.033</v>
      </c>
      <c r="X743" s="25">
        <f t="shared" si="142"/>
        <v>0</v>
      </c>
      <c r="Y743" s="25">
        <f t="shared" si="142"/>
        <v>0</v>
      </c>
      <c r="Z743" s="25">
        <f t="shared" si="142"/>
        <v>0.486</v>
      </c>
      <c r="AA743" s="25">
        <f t="shared" si="142"/>
        <v>0.106</v>
      </c>
      <c r="AB743" s="25">
        <f t="shared" si="142"/>
        <v>0.19599999999999998</v>
      </c>
      <c r="AC743" s="102">
        <f>SUM(V743:AB743)</f>
        <v>0.821</v>
      </c>
      <c r="AE743" s="25">
        <f aca="true" t="shared" si="143" ref="AE743:AT743">SUM(AE726:AE742)</f>
        <v>0</v>
      </c>
      <c r="AF743" s="25">
        <f t="shared" si="143"/>
        <v>0</v>
      </c>
      <c r="AG743" s="25">
        <f t="shared" si="143"/>
        <v>0</v>
      </c>
      <c r="AH743" s="25">
        <f t="shared" si="143"/>
        <v>0</v>
      </c>
      <c r="AI743" s="25">
        <f t="shared" si="143"/>
        <v>0</v>
      </c>
      <c r="AJ743" s="25">
        <f t="shared" si="143"/>
        <v>0</v>
      </c>
      <c r="AK743" s="25">
        <f t="shared" si="143"/>
        <v>0</v>
      </c>
      <c r="AL743" s="25">
        <f t="shared" si="143"/>
        <v>0</v>
      </c>
      <c r="AM743" s="25">
        <f t="shared" si="143"/>
        <v>0</v>
      </c>
      <c r="AN743" s="25">
        <f t="shared" si="143"/>
        <v>0</v>
      </c>
      <c r="AO743" s="25">
        <f t="shared" si="143"/>
        <v>0</v>
      </c>
      <c r="AP743" s="25">
        <f t="shared" si="143"/>
        <v>0.106</v>
      </c>
      <c r="AQ743" s="25">
        <f t="shared" si="143"/>
        <v>0</v>
      </c>
      <c r="AR743" s="25">
        <f t="shared" si="143"/>
        <v>0</v>
      </c>
      <c r="AS743" s="25">
        <f t="shared" si="143"/>
        <v>0</v>
      </c>
      <c r="AT743" s="25">
        <f t="shared" si="143"/>
        <v>0</v>
      </c>
      <c r="AU743" s="37">
        <f t="shared" si="139"/>
        <v>0.106</v>
      </c>
    </row>
    <row r="744" spans="3:47" ht="12.75">
      <c r="C744" s="8"/>
      <c r="E744" s="182"/>
      <c r="F744" s="183"/>
      <c r="G744" s="243"/>
      <c r="H744" s="91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95"/>
      <c r="T744" s="87"/>
      <c r="V744" s="36"/>
      <c r="W744" s="36"/>
      <c r="X744" s="36"/>
      <c r="Y744" s="36"/>
      <c r="Z744" s="36"/>
      <c r="AA744" s="36"/>
      <c r="AB744" s="37"/>
      <c r="AC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</row>
    <row r="745" spans="3:47" ht="12.75">
      <c r="C745" s="8" t="s">
        <v>1345</v>
      </c>
      <c r="D745" s="5"/>
      <c r="E745" s="24"/>
      <c r="F745" s="170"/>
      <c r="G745" s="243"/>
      <c r="H745" s="91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95"/>
      <c r="T745" s="87"/>
      <c r="V745" s="36"/>
      <c r="W745" s="36"/>
      <c r="X745" s="36"/>
      <c r="Y745" s="36"/>
      <c r="Z745" s="36"/>
      <c r="AA745" s="36"/>
      <c r="AB745" s="37"/>
      <c r="AC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>
        <f>SUM(AE745:AT745)</f>
        <v>0</v>
      </c>
    </row>
    <row r="746" spans="2:48" ht="12.75">
      <c r="B746" s="33" t="s">
        <v>57</v>
      </c>
      <c r="C746" s="5" t="s">
        <v>222</v>
      </c>
      <c r="D746" s="5">
        <v>0.195</v>
      </c>
      <c r="E746" s="24">
        <v>38200</v>
      </c>
      <c r="F746" s="169">
        <v>38777</v>
      </c>
      <c r="G746" s="10">
        <v>0.016</v>
      </c>
      <c r="H746" s="91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0.03</v>
      </c>
      <c r="O746" s="13">
        <v>0.03</v>
      </c>
      <c r="P746" s="13">
        <v>0.03</v>
      </c>
      <c r="Q746" s="13">
        <v>0.03</v>
      </c>
      <c r="R746" s="13">
        <v>0.03</v>
      </c>
      <c r="S746" s="13">
        <v>0.03</v>
      </c>
      <c r="T746" s="5">
        <f>SUM(H746:N746)</f>
        <v>0.03</v>
      </c>
      <c r="V746" s="36"/>
      <c r="W746" s="36"/>
      <c r="X746" s="36">
        <v>0.195</v>
      </c>
      <c r="Y746" s="36"/>
      <c r="Z746" s="36"/>
      <c r="AA746" s="36">
        <f>SUM(AE746:AT746)</f>
        <v>0</v>
      </c>
      <c r="AB746" s="37"/>
      <c r="AC746" s="37">
        <f>SUM(V746:AB746)</f>
        <v>0.195</v>
      </c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3" t="s">
        <v>1095</v>
      </c>
    </row>
    <row r="747" spans="3:47" ht="3" customHeight="1">
      <c r="C747" s="5"/>
      <c r="D747" s="5"/>
      <c r="E747" s="24"/>
      <c r="G747" s="10"/>
      <c r="H747" s="91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95"/>
      <c r="T747" s="94"/>
      <c r="V747" s="36"/>
      <c r="W747" s="36"/>
      <c r="X747" s="36"/>
      <c r="Z747" s="36"/>
      <c r="AA747" s="36"/>
      <c r="AB747" s="37"/>
      <c r="AC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</row>
    <row r="748" spans="3:47" ht="12.75" customHeight="1">
      <c r="C748" s="5" t="s">
        <v>1251</v>
      </c>
      <c r="D748" s="5">
        <v>0.031</v>
      </c>
      <c r="E748" s="24"/>
      <c r="G748" s="10"/>
      <c r="H748" s="91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94"/>
      <c r="V748" s="36"/>
      <c r="W748" s="36"/>
      <c r="X748" s="36"/>
      <c r="Y748" s="6">
        <v>0.005</v>
      </c>
      <c r="Z748" s="36">
        <v>0.026</v>
      </c>
      <c r="AA748" s="36">
        <f>SUM(AE748:AT748)</f>
        <v>0</v>
      </c>
      <c r="AB748" s="37"/>
      <c r="AC748" s="37">
        <f>SUM(V748:AB748)</f>
        <v>0.031</v>
      </c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</row>
    <row r="749" spans="2:47" ht="12.75">
      <c r="B749" s="33" t="s">
        <v>1593</v>
      </c>
      <c r="C749" s="5" t="s">
        <v>1391</v>
      </c>
      <c r="D749" s="5">
        <v>0.02</v>
      </c>
      <c r="E749" s="180">
        <v>38231</v>
      </c>
      <c r="F749" s="181">
        <v>38412</v>
      </c>
      <c r="G749" s="10">
        <v>0</v>
      </c>
      <c r="H749" s="91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0.002857142857142857</v>
      </c>
      <c r="N749" s="13">
        <v>0.002857142857142857</v>
      </c>
      <c r="O749" s="13">
        <v>0.002857142857142857</v>
      </c>
      <c r="P749" s="13">
        <v>0.002857142857142857</v>
      </c>
      <c r="Q749" s="13">
        <v>0.002857142857142857</v>
      </c>
      <c r="R749" s="13">
        <v>0.002857142857142857</v>
      </c>
      <c r="S749" s="13">
        <v>0.002857142857142857</v>
      </c>
      <c r="T749" s="5">
        <f>SUM(H749:N749)</f>
        <v>0.005714285714285714</v>
      </c>
      <c r="V749" s="36"/>
      <c r="W749" s="36"/>
      <c r="X749" s="36"/>
      <c r="Z749" s="36">
        <v>0.02</v>
      </c>
      <c r="AA749" s="36">
        <f>SUM(AE749:AT749)</f>
        <v>0</v>
      </c>
      <c r="AB749" s="37"/>
      <c r="AC749" s="37">
        <f>SUM(V749:AB749)</f>
        <v>0.02</v>
      </c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>
        <f>SUM(AE749:AT749)</f>
        <v>0</v>
      </c>
    </row>
    <row r="750" spans="2:48" ht="12.75">
      <c r="B750" s="33" t="s">
        <v>1594</v>
      </c>
      <c r="C750" s="10" t="s">
        <v>1415</v>
      </c>
      <c r="D750" s="5">
        <f>0.169+0.03-0.03</f>
        <v>0.169</v>
      </c>
      <c r="E750" s="24">
        <v>37987</v>
      </c>
      <c r="F750" s="170">
        <v>38108</v>
      </c>
      <c r="G750" s="5">
        <v>0.172</v>
      </c>
      <c r="H750" s="52">
        <v>0.169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95">
        <v>0</v>
      </c>
      <c r="T750" s="94">
        <f>SUM(H750:S750)</f>
        <v>0.169</v>
      </c>
      <c r="V750" s="36"/>
      <c r="W750" s="36"/>
      <c r="X750" s="36"/>
      <c r="Y750" s="6">
        <v>0.008</v>
      </c>
      <c r="Z750" s="36"/>
      <c r="AA750" s="36">
        <f aca="true" t="shared" si="144" ref="AA750:AA767">SUM(AE750:AT750)</f>
        <v>0.161</v>
      </c>
      <c r="AB750" s="37"/>
      <c r="AC750" s="37">
        <f aca="true" t="shared" si="145" ref="AC750:AC767">SUM(V750:AB750)</f>
        <v>0.169</v>
      </c>
      <c r="AE750" s="37"/>
      <c r="AF750" s="37"/>
      <c r="AG750" s="37"/>
      <c r="AH750" s="37">
        <f>0.169+0.022-0.03</f>
        <v>0.161</v>
      </c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>
        <f>SUM(AE750:AT750)</f>
        <v>0.161</v>
      </c>
      <c r="AV750" s="33" t="s">
        <v>162</v>
      </c>
    </row>
    <row r="751" spans="2:48" ht="12.75">
      <c r="B751" s="33" t="s">
        <v>554</v>
      </c>
      <c r="C751" s="10" t="s">
        <v>433</v>
      </c>
      <c r="D751" s="5">
        <f>0.013+0.038</f>
        <v>0.051</v>
      </c>
      <c r="E751" s="24"/>
      <c r="F751" s="170"/>
      <c r="G751" s="5">
        <v>0.046</v>
      </c>
      <c r="H751" s="91">
        <v>0.013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95">
        <v>0</v>
      </c>
      <c r="T751" s="94">
        <f aca="true" t="shared" si="146" ref="T751:T776">SUM(H751:N751)</f>
        <v>0.013</v>
      </c>
      <c r="V751" s="36"/>
      <c r="W751" s="36"/>
      <c r="X751" s="36"/>
      <c r="Z751" s="36">
        <v>0.013</v>
      </c>
      <c r="AA751" s="36">
        <f t="shared" si="144"/>
        <v>0</v>
      </c>
      <c r="AB751" s="37">
        <f>0.031+0.005+0.002</f>
        <v>0.038</v>
      </c>
      <c r="AC751" s="37">
        <f t="shared" si="145"/>
        <v>0.051</v>
      </c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>
        <f aca="true" t="shared" si="147" ref="AU751:AU776">SUM(AE751:AT751)</f>
        <v>0</v>
      </c>
      <c r="AV751" s="33" t="s">
        <v>1107</v>
      </c>
    </row>
    <row r="752" spans="2:47" ht="12.75">
      <c r="B752" s="33" t="s">
        <v>158</v>
      </c>
      <c r="C752" s="10" t="s">
        <v>159</v>
      </c>
      <c r="D752" s="5"/>
      <c r="E752" s="24"/>
      <c r="F752" s="170"/>
      <c r="G752" s="5">
        <v>0.001</v>
      </c>
      <c r="H752" s="91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95">
        <v>0</v>
      </c>
      <c r="T752" s="5">
        <f t="shared" si="146"/>
        <v>0</v>
      </c>
      <c r="V752" s="36"/>
      <c r="W752" s="36"/>
      <c r="X752" s="36"/>
      <c r="Z752" s="36"/>
      <c r="AA752" s="36">
        <f t="shared" si="144"/>
        <v>0</v>
      </c>
      <c r="AB752" s="37"/>
      <c r="AC752" s="37">
        <f t="shared" si="145"/>
        <v>0</v>
      </c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>
        <f t="shared" si="147"/>
        <v>0</v>
      </c>
    </row>
    <row r="753" spans="2:47" ht="12.75">
      <c r="B753" s="33" t="s">
        <v>1604</v>
      </c>
      <c r="C753" s="84" t="s">
        <v>1608</v>
      </c>
      <c r="D753" s="5">
        <v>0.01</v>
      </c>
      <c r="E753" s="24"/>
      <c r="F753" s="170"/>
      <c r="G753" s="10">
        <v>0.008</v>
      </c>
      <c r="H753" s="91">
        <v>0.024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5">
        <f t="shared" si="146"/>
        <v>0.024</v>
      </c>
      <c r="V753" s="36"/>
      <c r="W753" s="36"/>
      <c r="X753" s="36"/>
      <c r="Z753" s="36"/>
      <c r="AA753" s="36">
        <f t="shared" si="144"/>
        <v>0.01</v>
      </c>
      <c r="AB753" s="37"/>
      <c r="AC753" s="37">
        <f t="shared" si="145"/>
        <v>0.01</v>
      </c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>
        <v>0.01</v>
      </c>
      <c r="AQ753" s="37"/>
      <c r="AR753" s="37"/>
      <c r="AS753" s="37"/>
      <c r="AT753" s="37"/>
      <c r="AU753" s="37">
        <f t="shared" si="147"/>
        <v>0.01</v>
      </c>
    </row>
    <row r="754" spans="2:47" ht="12.75">
      <c r="B754" s="33" t="s">
        <v>1605</v>
      </c>
      <c r="C754" s="84" t="s">
        <v>1609</v>
      </c>
      <c r="D754" s="5">
        <v>0.003</v>
      </c>
      <c r="E754" s="24"/>
      <c r="F754" s="170"/>
      <c r="G754" s="10">
        <v>0.01</v>
      </c>
      <c r="H754" s="91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5">
        <f t="shared" si="146"/>
        <v>0</v>
      </c>
      <c r="V754" s="36"/>
      <c r="W754" s="36"/>
      <c r="X754" s="36"/>
      <c r="Z754" s="36"/>
      <c r="AA754" s="36">
        <f t="shared" si="144"/>
        <v>0.003</v>
      </c>
      <c r="AB754" s="37"/>
      <c r="AC754" s="37">
        <f t="shared" si="145"/>
        <v>0.003</v>
      </c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>
        <v>0.003</v>
      </c>
      <c r="AQ754" s="37"/>
      <c r="AR754" s="37"/>
      <c r="AS754" s="37"/>
      <c r="AT754" s="37"/>
      <c r="AU754" s="37">
        <f t="shared" si="147"/>
        <v>0.003</v>
      </c>
    </row>
    <row r="755" spans="2:47" ht="12.75">
      <c r="B755" s="33" t="s">
        <v>1606</v>
      </c>
      <c r="C755" s="84" t="s">
        <v>1610</v>
      </c>
      <c r="D755" s="5">
        <v>0.003</v>
      </c>
      <c r="E755" s="24"/>
      <c r="F755" s="170"/>
      <c r="G755" s="10">
        <v>0.008</v>
      </c>
      <c r="H755" s="91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5">
        <f t="shared" si="146"/>
        <v>0</v>
      </c>
      <c r="V755" s="36"/>
      <c r="W755" s="36"/>
      <c r="X755" s="36"/>
      <c r="Z755" s="36"/>
      <c r="AA755" s="36">
        <f t="shared" si="144"/>
        <v>0.003</v>
      </c>
      <c r="AB755" s="37"/>
      <c r="AC755" s="37">
        <f t="shared" si="145"/>
        <v>0.003</v>
      </c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>
        <v>0.003</v>
      </c>
      <c r="AQ755" s="37"/>
      <c r="AR755" s="37"/>
      <c r="AS755" s="37"/>
      <c r="AT755" s="37"/>
      <c r="AU755" s="37">
        <f t="shared" si="147"/>
        <v>0.003</v>
      </c>
    </row>
    <row r="756" spans="2:47" ht="12.75">
      <c r="B756" s="33" t="s">
        <v>1607</v>
      </c>
      <c r="C756" s="84" t="s">
        <v>1611</v>
      </c>
      <c r="D756" s="5">
        <v>0.019</v>
      </c>
      <c r="E756" s="24"/>
      <c r="F756" s="170"/>
      <c r="G756" s="10">
        <v>0.031</v>
      </c>
      <c r="H756" s="91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0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5">
        <f t="shared" si="146"/>
        <v>0</v>
      </c>
      <c r="V756" s="36"/>
      <c r="W756" s="36"/>
      <c r="X756" s="36"/>
      <c r="Z756" s="36"/>
      <c r="AA756" s="36">
        <f>SUM(AE756:AT756)</f>
        <v>0.019</v>
      </c>
      <c r="AB756" s="37"/>
      <c r="AC756" s="37">
        <f t="shared" si="145"/>
        <v>0.019</v>
      </c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>
        <v>0.019</v>
      </c>
      <c r="AQ756" s="37"/>
      <c r="AR756" s="37"/>
      <c r="AS756" s="37"/>
      <c r="AT756" s="37"/>
      <c r="AU756" s="37">
        <f t="shared" si="147"/>
        <v>0.019</v>
      </c>
    </row>
    <row r="757" spans="2:47" ht="12.75">
      <c r="B757" s="33" t="s">
        <v>558</v>
      </c>
      <c r="C757" s="5" t="s">
        <v>435</v>
      </c>
      <c r="D757" s="5">
        <v>0.003</v>
      </c>
      <c r="E757" s="24"/>
      <c r="F757" s="170"/>
      <c r="G757" s="10">
        <v>0.005</v>
      </c>
      <c r="H757" s="91">
        <v>0.00025</v>
      </c>
      <c r="I757" s="13">
        <v>0.00025</v>
      </c>
      <c r="J757" s="13">
        <v>0.00025</v>
      </c>
      <c r="K757" s="13">
        <v>0.00025</v>
      </c>
      <c r="L757" s="13">
        <v>0.00025</v>
      </c>
      <c r="M757" s="13">
        <v>0.00025</v>
      </c>
      <c r="N757" s="13">
        <v>0.00025</v>
      </c>
      <c r="O757" s="13">
        <v>0.00025</v>
      </c>
      <c r="P757" s="13">
        <v>0.00025</v>
      </c>
      <c r="Q757" s="13">
        <v>0.00025</v>
      </c>
      <c r="R757" s="13">
        <v>0.00025</v>
      </c>
      <c r="S757" s="13">
        <v>0.00025</v>
      </c>
      <c r="T757" s="5">
        <f t="shared" si="146"/>
        <v>0.00175</v>
      </c>
      <c r="V757" s="36"/>
      <c r="W757" s="36"/>
      <c r="X757" s="36"/>
      <c r="Z757" s="36">
        <v>0.003</v>
      </c>
      <c r="AA757" s="36">
        <f>SUM(AE757:AT757)</f>
        <v>0</v>
      </c>
      <c r="AB757" s="37"/>
      <c r="AC757" s="37">
        <f t="shared" si="145"/>
        <v>0.003</v>
      </c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>
        <f t="shared" si="147"/>
        <v>0</v>
      </c>
    </row>
    <row r="758" spans="2:47" ht="12.75">
      <c r="B758" s="33" t="s">
        <v>1473</v>
      </c>
      <c r="C758" s="84" t="s">
        <v>1474</v>
      </c>
      <c r="D758" s="5"/>
      <c r="E758" s="24"/>
      <c r="F758" s="170"/>
      <c r="G758" s="10">
        <v>0.001</v>
      </c>
      <c r="H758" s="91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5">
        <f t="shared" si="146"/>
        <v>0</v>
      </c>
      <c r="V758" s="36"/>
      <c r="W758" s="36"/>
      <c r="X758" s="36"/>
      <c r="Z758" s="36"/>
      <c r="AA758" s="36"/>
      <c r="AB758" s="37"/>
      <c r="AC758" s="37">
        <f t="shared" si="145"/>
        <v>0</v>
      </c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>
        <f t="shared" si="147"/>
        <v>0</v>
      </c>
    </row>
    <row r="759" spans="2:48" ht="12.75">
      <c r="B759" s="33" t="s">
        <v>1595</v>
      </c>
      <c r="C759" s="5" t="s">
        <v>1433</v>
      </c>
      <c r="D759" s="5">
        <v>0.226</v>
      </c>
      <c r="E759" s="180">
        <v>38231</v>
      </c>
      <c r="F759" s="181">
        <v>38412</v>
      </c>
      <c r="G759" s="10">
        <v>0.147</v>
      </c>
      <c r="H759" s="91">
        <v>0.132</v>
      </c>
      <c r="I759" s="13">
        <v>0</v>
      </c>
      <c r="J759" s="13">
        <v>0</v>
      </c>
      <c r="K759" s="13">
        <v>0</v>
      </c>
      <c r="L759" s="13">
        <v>0</v>
      </c>
      <c r="M759" s="13">
        <v>0.013428571428571429</v>
      </c>
      <c r="N759" s="13">
        <v>0.013428571428571429</v>
      </c>
      <c r="O759" s="13">
        <v>0.013428571428571429</v>
      </c>
      <c r="P759" s="13">
        <v>0.013428571428571429</v>
      </c>
      <c r="Q759" s="13">
        <v>0.013428571428571429</v>
      </c>
      <c r="R759" s="13">
        <v>0.013428571428571429</v>
      </c>
      <c r="S759" s="13">
        <v>0.013428571428571429</v>
      </c>
      <c r="T759" s="5">
        <f t="shared" si="146"/>
        <v>0.15885714285714286</v>
      </c>
      <c r="V759" s="36"/>
      <c r="W759" s="36"/>
      <c r="X759" s="36"/>
      <c r="Z759" s="36">
        <v>0.091</v>
      </c>
      <c r="AA759" s="36">
        <f t="shared" si="144"/>
        <v>0.135</v>
      </c>
      <c r="AB759" s="37"/>
      <c r="AC759" s="37">
        <f t="shared" si="145"/>
        <v>0.226</v>
      </c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>
        <v>0.135</v>
      </c>
      <c r="AU759" s="37">
        <f t="shared" si="147"/>
        <v>0.135</v>
      </c>
      <c r="AV759" s="33" t="s">
        <v>1446</v>
      </c>
    </row>
    <row r="760" spans="2:47" ht="12.75">
      <c r="B760" s="33" t="s">
        <v>160</v>
      </c>
      <c r="C760" s="5" t="s">
        <v>161</v>
      </c>
      <c r="D760" s="5"/>
      <c r="E760" s="24"/>
      <c r="F760" s="170"/>
      <c r="G760" s="10">
        <v>0.001</v>
      </c>
      <c r="H760" s="91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5">
        <f t="shared" si="146"/>
        <v>0</v>
      </c>
      <c r="V760" s="36"/>
      <c r="W760" s="36"/>
      <c r="X760" s="36"/>
      <c r="Z760" s="36"/>
      <c r="AA760" s="36">
        <f t="shared" si="144"/>
        <v>0</v>
      </c>
      <c r="AB760" s="37"/>
      <c r="AC760" s="37">
        <f t="shared" si="145"/>
        <v>0</v>
      </c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>
        <f t="shared" si="147"/>
        <v>0</v>
      </c>
    </row>
    <row r="761" spans="2:47" ht="12.75">
      <c r="B761" s="33" t="s">
        <v>1596</v>
      </c>
      <c r="C761" s="5" t="s">
        <v>1434</v>
      </c>
      <c r="D761" s="5">
        <v>0.474</v>
      </c>
      <c r="E761" s="180">
        <v>38231</v>
      </c>
      <c r="F761" s="181">
        <v>38412</v>
      </c>
      <c r="G761" s="10">
        <v>0</v>
      </c>
      <c r="H761" s="91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0.06771428571428571</v>
      </c>
      <c r="N761" s="13">
        <v>0.06771428571428571</v>
      </c>
      <c r="O761" s="13">
        <v>0.06771428571428571</v>
      </c>
      <c r="P761" s="13">
        <v>0.06771428571428571</v>
      </c>
      <c r="Q761" s="13">
        <v>0.06771428571428571</v>
      </c>
      <c r="R761" s="13">
        <v>0.06771428571428571</v>
      </c>
      <c r="S761" s="13">
        <v>0.06771428571428571</v>
      </c>
      <c r="T761" s="5">
        <f t="shared" si="146"/>
        <v>0.13542857142857143</v>
      </c>
      <c r="V761" s="36"/>
      <c r="W761" s="36"/>
      <c r="X761" s="36"/>
      <c r="Z761" s="36">
        <v>0.124</v>
      </c>
      <c r="AA761" s="36">
        <f t="shared" si="144"/>
        <v>0.35</v>
      </c>
      <c r="AB761" s="37"/>
      <c r="AC761" s="37">
        <f t="shared" si="145"/>
        <v>0.474</v>
      </c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>
        <v>0.35</v>
      </c>
      <c r="AQ761" s="37"/>
      <c r="AR761" s="37"/>
      <c r="AS761" s="37"/>
      <c r="AT761" s="37"/>
      <c r="AU761" s="37">
        <f t="shared" si="147"/>
        <v>0.35</v>
      </c>
    </row>
    <row r="762" spans="2:47" ht="12.75">
      <c r="B762" s="33" t="s">
        <v>1599</v>
      </c>
      <c r="C762" s="5" t="s">
        <v>129</v>
      </c>
      <c r="D762" s="5">
        <v>0.027</v>
      </c>
      <c r="E762" s="180">
        <v>38231</v>
      </c>
      <c r="F762" s="181">
        <v>38412</v>
      </c>
      <c r="G762" s="10">
        <v>0</v>
      </c>
      <c r="H762" s="91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0.003857142857142857</v>
      </c>
      <c r="N762" s="13">
        <v>0.003857142857142857</v>
      </c>
      <c r="O762" s="13">
        <v>0.003857142857142857</v>
      </c>
      <c r="P762" s="13">
        <v>0.003857142857142857</v>
      </c>
      <c r="Q762" s="13">
        <v>0.003857142857142857</v>
      </c>
      <c r="R762" s="13">
        <v>0.003857142857142857</v>
      </c>
      <c r="S762" s="13">
        <v>0.003857142857142857</v>
      </c>
      <c r="T762" s="5">
        <f t="shared" si="146"/>
        <v>0.007714285714285714</v>
      </c>
      <c r="V762" s="36"/>
      <c r="W762" s="36"/>
      <c r="X762" s="36"/>
      <c r="Y762" s="36"/>
      <c r="Z762" s="36">
        <v>0.027</v>
      </c>
      <c r="AA762" s="36">
        <f t="shared" si="144"/>
        <v>0</v>
      </c>
      <c r="AB762" s="37"/>
      <c r="AC762" s="37">
        <f t="shared" si="145"/>
        <v>0.027</v>
      </c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>
        <f t="shared" si="147"/>
        <v>0</v>
      </c>
    </row>
    <row r="763" spans="2:48" s="12" customFormat="1" ht="12.75">
      <c r="B763" s="33" t="s">
        <v>1598</v>
      </c>
      <c r="C763" s="5" t="s">
        <v>1435</v>
      </c>
      <c r="D763" s="5">
        <f>1.45-0.038-1.014</f>
        <v>0.3979999999999999</v>
      </c>
      <c r="E763" s="180">
        <v>38231</v>
      </c>
      <c r="F763" s="181">
        <v>38412</v>
      </c>
      <c r="G763" s="10">
        <v>0.069</v>
      </c>
      <c r="H763" s="91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0.066</v>
      </c>
      <c r="N763" s="13">
        <v>0.066</v>
      </c>
      <c r="O763" s="13">
        <v>0.066</v>
      </c>
      <c r="P763" s="13">
        <v>0.066</v>
      </c>
      <c r="Q763" s="13">
        <v>0.066</v>
      </c>
      <c r="R763" s="13">
        <v>0.066</v>
      </c>
      <c r="S763" s="13">
        <v>0.066</v>
      </c>
      <c r="T763" s="5">
        <f t="shared" si="146"/>
        <v>0.132</v>
      </c>
      <c r="U763" s="11"/>
      <c r="V763" s="19"/>
      <c r="W763" s="19"/>
      <c r="X763" s="19"/>
      <c r="Y763" s="19"/>
      <c r="Z763" s="36">
        <f>0.25-0.038</f>
        <v>0.212</v>
      </c>
      <c r="AA763" s="36">
        <f t="shared" si="144"/>
        <v>0.186</v>
      </c>
      <c r="AB763" s="19"/>
      <c r="AC763" s="37">
        <f t="shared" si="145"/>
        <v>0.398</v>
      </c>
      <c r="AD763" s="33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37">
        <f>0.5-0.314</f>
        <v>0.186</v>
      </c>
      <c r="AP763" s="20"/>
      <c r="AQ763" s="20"/>
      <c r="AR763" s="20"/>
      <c r="AS763" s="20"/>
      <c r="AT763" s="20">
        <f>0.4+0.3-0.7</f>
        <v>0</v>
      </c>
      <c r="AU763" s="37">
        <f t="shared" si="147"/>
        <v>0.186</v>
      </c>
      <c r="AV763" s="12" t="s">
        <v>954</v>
      </c>
    </row>
    <row r="764" spans="2:47" s="12" customFormat="1" ht="12.75">
      <c r="B764" s="33" t="s">
        <v>557</v>
      </c>
      <c r="C764" s="5" t="s">
        <v>437</v>
      </c>
      <c r="D764" s="5">
        <f>0.047+0.03</f>
        <v>0.077</v>
      </c>
      <c r="E764" s="180">
        <v>38231</v>
      </c>
      <c r="F764" s="181">
        <v>38412</v>
      </c>
      <c r="G764" s="10">
        <v>0.066</v>
      </c>
      <c r="H764" s="91">
        <v>0.034</v>
      </c>
      <c r="I764" s="13">
        <v>0</v>
      </c>
      <c r="J764" s="13">
        <v>0</v>
      </c>
      <c r="K764" s="13">
        <v>0</v>
      </c>
      <c r="L764" s="13">
        <v>0</v>
      </c>
      <c r="M764" s="13">
        <v>0.006142857142857143</v>
      </c>
      <c r="N764" s="13">
        <v>0.006142857142857143</v>
      </c>
      <c r="O764" s="13">
        <v>0.006142857142857143</v>
      </c>
      <c r="P764" s="13">
        <v>0.006142857142857143</v>
      </c>
      <c r="Q764" s="13">
        <v>0.006142857142857143</v>
      </c>
      <c r="R764" s="13">
        <v>0.006142857142857143</v>
      </c>
      <c r="S764" s="13">
        <v>0.006142857142857143</v>
      </c>
      <c r="T764" s="5">
        <f t="shared" si="146"/>
        <v>0.04628571428571429</v>
      </c>
      <c r="U764" s="11"/>
      <c r="V764" s="19"/>
      <c r="W764" s="19"/>
      <c r="X764" s="19"/>
      <c r="Y764" s="19"/>
      <c r="Z764" s="36">
        <f>0.047+0.03</f>
        <v>0.077</v>
      </c>
      <c r="AA764" s="36">
        <f t="shared" si="144"/>
        <v>0</v>
      </c>
      <c r="AB764" s="19"/>
      <c r="AC764" s="37">
        <f t="shared" si="145"/>
        <v>0.077</v>
      </c>
      <c r="AD764" s="33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37">
        <f t="shared" si="147"/>
        <v>0</v>
      </c>
    </row>
    <row r="765" spans="2:47" ht="12.75">
      <c r="B765" s="33" t="s">
        <v>1597</v>
      </c>
      <c r="C765" s="5" t="s">
        <v>1396</v>
      </c>
      <c r="D765" s="5">
        <f>0.058+0.037</f>
        <v>0.095</v>
      </c>
      <c r="E765" s="180">
        <v>38231</v>
      </c>
      <c r="F765" s="181">
        <v>38412</v>
      </c>
      <c r="G765" s="10">
        <v>0.001</v>
      </c>
      <c r="H765" s="91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0.013571428571428571</v>
      </c>
      <c r="N765" s="13">
        <v>0.013571428571428571</v>
      </c>
      <c r="O765" s="13">
        <v>0.013571428571428571</v>
      </c>
      <c r="P765" s="13">
        <v>0.013571428571428571</v>
      </c>
      <c r="Q765" s="13">
        <v>0.013571428571428571</v>
      </c>
      <c r="R765" s="13">
        <v>0.013571428571428571</v>
      </c>
      <c r="S765" s="13">
        <v>0.013571428571428571</v>
      </c>
      <c r="T765" s="5">
        <f t="shared" si="146"/>
        <v>0.027142857142857142</v>
      </c>
      <c r="V765" s="36"/>
      <c r="W765" s="36"/>
      <c r="X765" s="36"/>
      <c r="Y765" s="36">
        <f>0.058+0.037</f>
        <v>0.095</v>
      </c>
      <c r="Z765" s="36"/>
      <c r="AA765" s="36">
        <f t="shared" si="144"/>
        <v>0</v>
      </c>
      <c r="AB765" s="37"/>
      <c r="AC765" s="37">
        <f t="shared" si="145"/>
        <v>0.095</v>
      </c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>
        <f t="shared" si="147"/>
        <v>0</v>
      </c>
    </row>
    <row r="766" spans="2:47" ht="12.75">
      <c r="B766" s="33" t="s">
        <v>1600</v>
      </c>
      <c r="C766" s="5" t="s">
        <v>1602</v>
      </c>
      <c r="D766" s="5">
        <v>0.081</v>
      </c>
      <c r="E766" s="180">
        <v>38231</v>
      </c>
      <c r="F766" s="181">
        <v>38412</v>
      </c>
      <c r="G766" s="10">
        <v>0.033</v>
      </c>
      <c r="H766" s="91">
        <v>0.007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  <c r="N766" s="13">
        <v>0</v>
      </c>
      <c r="O766" s="13">
        <v>0</v>
      </c>
      <c r="P766" s="13">
        <v>0</v>
      </c>
      <c r="Q766" s="13">
        <v>0.321</v>
      </c>
      <c r="R766" s="13">
        <v>0.321</v>
      </c>
      <c r="S766" s="13">
        <v>0.321</v>
      </c>
      <c r="T766" s="5">
        <f t="shared" si="146"/>
        <v>0.007</v>
      </c>
      <c r="V766" s="36"/>
      <c r="W766" s="36"/>
      <c r="X766" s="36"/>
      <c r="Y766" s="36"/>
      <c r="Z766" s="36"/>
      <c r="AA766" s="36">
        <f t="shared" si="144"/>
        <v>0.081</v>
      </c>
      <c r="AB766" s="37"/>
      <c r="AC766" s="37">
        <f t="shared" si="145"/>
        <v>0.081</v>
      </c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5">
        <v>0.081</v>
      </c>
      <c r="AQ766" s="37"/>
      <c r="AR766" s="37"/>
      <c r="AS766" s="37"/>
      <c r="AT766" s="37"/>
      <c r="AU766" s="37">
        <f t="shared" si="147"/>
        <v>0.081</v>
      </c>
    </row>
    <row r="767" spans="2:47" ht="12.75">
      <c r="B767" s="33" t="s">
        <v>555</v>
      </c>
      <c r="C767" s="5" t="s">
        <v>556</v>
      </c>
      <c r="D767" s="5">
        <v>0.106</v>
      </c>
      <c r="E767" s="180">
        <v>38231</v>
      </c>
      <c r="F767" s="181">
        <v>38412</v>
      </c>
      <c r="G767" s="10">
        <v>0.003</v>
      </c>
      <c r="H767" s="91">
        <v>0.002</v>
      </c>
      <c r="I767" s="13">
        <v>0</v>
      </c>
      <c r="J767" s="13">
        <v>0</v>
      </c>
      <c r="K767" s="13">
        <v>0</v>
      </c>
      <c r="L767" s="13">
        <v>0</v>
      </c>
      <c r="M767" s="13">
        <v>0.016428571428571428</v>
      </c>
      <c r="N767" s="13">
        <v>0.016428571428571428</v>
      </c>
      <c r="O767" s="13">
        <v>0.016428571428571428</v>
      </c>
      <c r="P767" s="13">
        <v>0.016428571428571428</v>
      </c>
      <c r="Q767" s="13">
        <v>0.016428571428571428</v>
      </c>
      <c r="R767" s="13">
        <v>0.016428571428571428</v>
      </c>
      <c r="S767" s="13">
        <v>0.016428571428571428</v>
      </c>
      <c r="T767" s="5">
        <f t="shared" si="146"/>
        <v>0.03485714285714285</v>
      </c>
      <c r="V767" s="36"/>
      <c r="W767" s="36"/>
      <c r="X767" s="36"/>
      <c r="Y767" s="36"/>
      <c r="Z767" s="36"/>
      <c r="AA767" s="36">
        <f t="shared" si="144"/>
        <v>0.106</v>
      </c>
      <c r="AB767" s="37"/>
      <c r="AC767" s="37">
        <f t="shared" si="145"/>
        <v>0.106</v>
      </c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5">
        <v>0.106</v>
      </c>
      <c r="AQ767" s="37"/>
      <c r="AR767" s="37"/>
      <c r="AS767" s="37"/>
      <c r="AT767" s="37"/>
      <c r="AU767" s="37">
        <f t="shared" si="147"/>
        <v>0.106</v>
      </c>
    </row>
    <row r="768" spans="2:47" ht="12.75">
      <c r="B768" s="33" t="s">
        <v>127</v>
      </c>
      <c r="C768" s="5" t="s">
        <v>128</v>
      </c>
      <c r="D768" s="6">
        <v>0.175</v>
      </c>
      <c r="E768" s="180">
        <v>38231</v>
      </c>
      <c r="F768" s="181">
        <v>38412</v>
      </c>
      <c r="G768" s="10">
        <v>0.001</v>
      </c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5"/>
      <c r="V768" s="36"/>
      <c r="W768" s="36"/>
      <c r="X768" s="36"/>
      <c r="Y768" s="36"/>
      <c r="Z768" s="36"/>
      <c r="AA768" s="36">
        <f aca="true" t="shared" si="148" ref="AA768:AA776">SUM(AE768:AT768)</f>
        <v>0.175</v>
      </c>
      <c r="AB768" s="37"/>
      <c r="AC768" s="37">
        <f aca="true" t="shared" si="149" ref="AC768:AC776">SUM(V768:AB768)</f>
        <v>0.175</v>
      </c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6">
        <v>0.175</v>
      </c>
      <c r="AQ768" s="37"/>
      <c r="AR768" s="37"/>
      <c r="AS768" s="37"/>
      <c r="AT768" s="37"/>
      <c r="AU768" s="37">
        <f t="shared" si="147"/>
        <v>0.175</v>
      </c>
    </row>
    <row r="769" spans="2:47" ht="12.75">
      <c r="B769" s="33" t="s">
        <v>1108</v>
      </c>
      <c r="C769" s="5" t="s">
        <v>1114</v>
      </c>
      <c r="D769" s="6">
        <v>0.082</v>
      </c>
      <c r="E769" s="180">
        <v>38231</v>
      </c>
      <c r="F769" s="181">
        <v>38412</v>
      </c>
      <c r="G769" s="10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5"/>
      <c r="V769" s="36"/>
      <c r="W769" s="36"/>
      <c r="X769" s="36"/>
      <c r="Y769" s="36"/>
      <c r="Z769" s="36"/>
      <c r="AA769" s="36">
        <f t="shared" si="148"/>
        <v>0.082</v>
      </c>
      <c r="AB769" s="37"/>
      <c r="AC769" s="37">
        <f t="shared" si="149"/>
        <v>0.082</v>
      </c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6">
        <v>0.082</v>
      </c>
      <c r="AQ769" s="37"/>
      <c r="AR769" s="37"/>
      <c r="AS769" s="37"/>
      <c r="AT769" s="37"/>
      <c r="AU769" s="37"/>
    </row>
    <row r="770" spans="2:47" ht="12.75">
      <c r="B770" s="33" t="s">
        <v>284</v>
      </c>
      <c r="C770" s="5" t="s">
        <v>285</v>
      </c>
      <c r="D770" s="5">
        <v>0.075</v>
      </c>
      <c r="E770" s="180">
        <v>38231</v>
      </c>
      <c r="F770" s="181">
        <v>38412</v>
      </c>
      <c r="G770" s="10">
        <v>0.06</v>
      </c>
      <c r="H770" s="91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5"/>
      <c r="V770" s="36"/>
      <c r="W770" s="36"/>
      <c r="X770" s="36"/>
      <c r="Z770" s="36"/>
      <c r="AA770" s="36">
        <f t="shared" si="148"/>
        <v>0.075</v>
      </c>
      <c r="AB770" s="37"/>
      <c r="AC770" s="37">
        <f t="shared" si="149"/>
        <v>0.075</v>
      </c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5">
        <v>0.075</v>
      </c>
      <c r="AQ770" s="37"/>
      <c r="AR770" s="37"/>
      <c r="AS770" s="37"/>
      <c r="AT770" s="37"/>
      <c r="AU770" s="37">
        <f>SUM(AE770:AT770)</f>
        <v>0.075</v>
      </c>
    </row>
    <row r="771" spans="2:47" ht="12.75">
      <c r="B771" s="33" t="s">
        <v>1109</v>
      </c>
      <c r="C771" s="5" t="s">
        <v>1115</v>
      </c>
      <c r="D771" s="6">
        <v>0.075</v>
      </c>
      <c r="E771" s="180">
        <v>38231</v>
      </c>
      <c r="F771" s="181">
        <v>38412</v>
      </c>
      <c r="G771" s="10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5"/>
      <c r="V771" s="36"/>
      <c r="W771" s="36"/>
      <c r="X771" s="36"/>
      <c r="Y771" s="36"/>
      <c r="Z771" s="36"/>
      <c r="AA771" s="36">
        <f t="shared" si="148"/>
        <v>0.075</v>
      </c>
      <c r="AB771" s="37"/>
      <c r="AC771" s="37">
        <f t="shared" si="149"/>
        <v>0.075</v>
      </c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6">
        <v>0.075</v>
      </c>
      <c r="AQ771" s="37"/>
      <c r="AR771" s="37"/>
      <c r="AS771" s="37"/>
      <c r="AT771" s="37"/>
      <c r="AU771" s="37"/>
    </row>
    <row r="772" spans="2:47" ht="12.75">
      <c r="B772" s="33" t="s">
        <v>1110</v>
      </c>
      <c r="C772" s="5" t="s">
        <v>1116</v>
      </c>
      <c r="D772" s="6">
        <v>0.05</v>
      </c>
      <c r="E772" s="180">
        <v>38231</v>
      </c>
      <c r="F772" s="181">
        <v>38412</v>
      </c>
      <c r="G772" s="10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5"/>
      <c r="V772" s="36"/>
      <c r="W772" s="36"/>
      <c r="X772" s="36"/>
      <c r="Y772" s="36"/>
      <c r="Z772" s="36"/>
      <c r="AA772" s="36">
        <f t="shared" si="148"/>
        <v>0.05</v>
      </c>
      <c r="AB772" s="37"/>
      <c r="AC772" s="37">
        <f t="shared" si="149"/>
        <v>0.05</v>
      </c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6">
        <v>0.05</v>
      </c>
      <c r="AQ772" s="37"/>
      <c r="AR772" s="37"/>
      <c r="AS772" s="37"/>
      <c r="AT772" s="37"/>
      <c r="AU772" s="37"/>
    </row>
    <row r="773" spans="2:47" ht="12.75">
      <c r="B773" s="33" t="s">
        <v>1111</v>
      </c>
      <c r="C773" s="5" t="s">
        <v>1119</v>
      </c>
      <c r="D773" s="6">
        <v>0.015</v>
      </c>
      <c r="E773" s="180">
        <v>38231</v>
      </c>
      <c r="F773" s="181">
        <v>38412</v>
      </c>
      <c r="G773" s="10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5"/>
      <c r="V773" s="36"/>
      <c r="W773" s="36"/>
      <c r="X773" s="36"/>
      <c r="Y773" s="36"/>
      <c r="Z773" s="36"/>
      <c r="AA773" s="36">
        <f t="shared" si="148"/>
        <v>0.015</v>
      </c>
      <c r="AB773" s="37"/>
      <c r="AC773" s="37">
        <f t="shared" si="149"/>
        <v>0.015</v>
      </c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6">
        <v>0.015</v>
      </c>
      <c r="AQ773" s="37"/>
      <c r="AR773" s="37"/>
      <c r="AS773" s="37"/>
      <c r="AT773" s="37"/>
      <c r="AU773" s="37"/>
    </row>
    <row r="774" spans="2:47" ht="12.75">
      <c r="B774" s="33" t="s">
        <v>1112</v>
      </c>
      <c r="C774" s="5" t="s">
        <v>1118</v>
      </c>
      <c r="D774" s="6">
        <v>0.001</v>
      </c>
      <c r="E774" s="180">
        <v>38231</v>
      </c>
      <c r="F774" s="181">
        <v>38412</v>
      </c>
      <c r="G774" s="10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5"/>
      <c r="V774" s="36"/>
      <c r="W774" s="36"/>
      <c r="X774" s="36"/>
      <c r="Y774" s="36"/>
      <c r="Z774" s="36"/>
      <c r="AA774" s="36">
        <f t="shared" si="148"/>
        <v>0.001</v>
      </c>
      <c r="AB774" s="37"/>
      <c r="AC774" s="37">
        <f t="shared" si="149"/>
        <v>0.001</v>
      </c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6">
        <v>0.001</v>
      </c>
      <c r="AQ774" s="37"/>
      <c r="AR774" s="37"/>
      <c r="AS774" s="37"/>
      <c r="AT774" s="37"/>
      <c r="AU774" s="37"/>
    </row>
    <row r="775" spans="2:47" ht="12.75">
      <c r="B775" s="33" t="s">
        <v>1113</v>
      </c>
      <c r="C775" s="5" t="s">
        <v>1117</v>
      </c>
      <c r="D775" s="6">
        <v>0.143</v>
      </c>
      <c r="E775" s="180">
        <v>38231</v>
      </c>
      <c r="F775" s="181">
        <v>38412</v>
      </c>
      <c r="G775" s="10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5"/>
      <c r="V775" s="36"/>
      <c r="W775" s="36"/>
      <c r="X775" s="36"/>
      <c r="Y775" s="36"/>
      <c r="Z775" s="36"/>
      <c r="AA775" s="36">
        <f t="shared" si="148"/>
        <v>0.143</v>
      </c>
      <c r="AB775" s="37"/>
      <c r="AC775" s="37">
        <f t="shared" si="149"/>
        <v>0.143</v>
      </c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6">
        <v>0.143</v>
      </c>
      <c r="AQ775" s="37"/>
      <c r="AR775" s="37"/>
      <c r="AS775" s="37"/>
      <c r="AT775" s="37"/>
      <c r="AU775" s="37"/>
    </row>
    <row r="776" spans="2:47" ht="13.5" thickBot="1">
      <c r="B776" s="33" t="s">
        <v>1601</v>
      </c>
      <c r="C776" s="5" t="s">
        <v>1603</v>
      </c>
      <c r="D776" s="6">
        <v>0.071</v>
      </c>
      <c r="E776" s="180">
        <v>38231</v>
      </c>
      <c r="F776" s="181">
        <v>38412</v>
      </c>
      <c r="G776" s="10">
        <v>0.017</v>
      </c>
      <c r="H776" s="15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5">
        <f t="shared" si="146"/>
        <v>0</v>
      </c>
      <c r="V776" s="36"/>
      <c r="W776" s="36"/>
      <c r="X776" s="36"/>
      <c r="Y776" s="36"/>
      <c r="Z776" s="36"/>
      <c r="AA776" s="36">
        <f t="shared" si="148"/>
        <v>0.071</v>
      </c>
      <c r="AB776" s="37"/>
      <c r="AC776" s="37">
        <f t="shared" si="149"/>
        <v>0.071</v>
      </c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6">
        <v>0.071</v>
      </c>
      <c r="AQ776" s="37"/>
      <c r="AR776" s="37"/>
      <c r="AS776" s="37"/>
      <c r="AT776" s="37"/>
      <c r="AU776" s="37">
        <f t="shared" si="147"/>
        <v>0.071</v>
      </c>
    </row>
    <row r="777" spans="3:47" ht="13.5" thickBot="1">
      <c r="C777" s="8" t="s">
        <v>1372</v>
      </c>
      <c r="D777" s="25">
        <f>SUM(D746:D776)</f>
        <v>2.675</v>
      </c>
      <c r="E777" s="175"/>
      <c r="F777" s="176"/>
      <c r="G777" s="25">
        <f>SUM(G746:G776)</f>
        <v>0.6960000000000003</v>
      </c>
      <c r="H777" s="98">
        <f>SUM(H750:H767)</f>
        <v>0.3812500000000001</v>
      </c>
      <c r="I777" s="99">
        <f>SUM(I746:I776)</f>
        <v>0.00025</v>
      </c>
      <c r="J777" s="99">
        <f aca="true" t="shared" si="150" ref="J777:S777">SUM(J746:J767)</f>
        <v>0.00025</v>
      </c>
      <c r="K777" s="99">
        <f t="shared" si="150"/>
        <v>0.00025</v>
      </c>
      <c r="L777" s="99">
        <f t="shared" si="150"/>
        <v>0.00025</v>
      </c>
      <c r="M777" s="99">
        <f t="shared" si="150"/>
        <v>0.19024999999999997</v>
      </c>
      <c r="N777" s="99">
        <f t="shared" si="150"/>
        <v>0.22025</v>
      </c>
      <c r="O777" s="99">
        <f t="shared" si="150"/>
        <v>0.22025</v>
      </c>
      <c r="P777" s="99">
        <f t="shared" si="150"/>
        <v>0.22025</v>
      </c>
      <c r="Q777" s="99">
        <f t="shared" si="150"/>
        <v>0.54125</v>
      </c>
      <c r="R777" s="99">
        <f t="shared" si="150"/>
        <v>0.54125</v>
      </c>
      <c r="S777" s="99">
        <f t="shared" si="150"/>
        <v>0.54125</v>
      </c>
      <c r="T777" s="25">
        <f>SUM(T746:T776)</f>
        <v>0.79275</v>
      </c>
      <c r="V777" s="30">
        <f aca="true" t="shared" si="151" ref="V777:AB777">SUM(V746:V776)</f>
        <v>0</v>
      </c>
      <c r="W777" s="30">
        <f t="shared" si="151"/>
        <v>0</v>
      </c>
      <c r="X777" s="30">
        <f t="shared" si="151"/>
        <v>0.195</v>
      </c>
      <c r="Y777" s="30">
        <f t="shared" si="151"/>
        <v>0.108</v>
      </c>
      <c r="Z777" s="30">
        <f t="shared" si="151"/>
        <v>0.593</v>
      </c>
      <c r="AA777" s="30">
        <f t="shared" si="151"/>
        <v>1.7409999999999999</v>
      </c>
      <c r="AB777" s="30">
        <f t="shared" si="151"/>
        <v>0.038</v>
      </c>
      <c r="AC777" s="102">
        <f>SUM(V777:AB777)</f>
        <v>2.6749999999999994</v>
      </c>
      <c r="AD777" s="12"/>
      <c r="AE777" s="30">
        <f aca="true" t="shared" si="152" ref="AE777:AT777">SUM(AE746:AE776)</f>
        <v>0</v>
      </c>
      <c r="AF777" s="30">
        <f t="shared" si="152"/>
        <v>0</v>
      </c>
      <c r="AG777" s="30">
        <f t="shared" si="152"/>
        <v>0</v>
      </c>
      <c r="AH777" s="30">
        <f t="shared" si="152"/>
        <v>0.161</v>
      </c>
      <c r="AI777" s="30">
        <f t="shared" si="152"/>
        <v>0</v>
      </c>
      <c r="AJ777" s="30">
        <f t="shared" si="152"/>
        <v>0</v>
      </c>
      <c r="AK777" s="30">
        <f t="shared" si="152"/>
        <v>0</v>
      </c>
      <c r="AL777" s="30">
        <f t="shared" si="152"/>
        <v>0</v>
      </c>
      <c r="AM777" s="30">
        <f t="shared" si="152"/>
        <v>0</v>
      </c>
      <c r="AN777" s="30">
        <f t="shared" si="152"/>
        <v>0</v>
      </c>
      <c r="AO777" s="30">
        <f t="shared" si="152"/>
        <v>0.186</v>
      </c>
      <c r="AP777" s="30">
        <f>SUM(AP746:AP767)</f>
        <v>0.5720000000000001</v>
      </c>
      <c r="AQ777" s="30">
        <f t="shared" si="152"/>
        <v>0</v>
      </c>
      <c r="AR777" s="30">
        <f t="shared" si="152"/>
        <v>0</v>
      </c>
      <c r="AS777" s="30">
        <f t="shared" si="152"/>
        <v>0</v>
      </c>
      <c r="AT777" s="30">
        <f t="shared" si="152"/>
        <v>0.135</v>
      </c>
      <c r="AU777" s="37">
        <f>SUM(AE777:AT777)</f>
        <v>1.054</v>
      </c>
    </row>
    <row r="778" spans="3:47" ht="12.75">
      <c r="C778" s="8"/>
      <c r="D778" s="8"/>
      <c r="E778" s="182"/>
      <c r="F778" s="183"/>
      <c r="G778" s="243"/>
      <c r="H778" s="91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4"/>
      <c r="V778" s="36"/>
      <c r="W778" s="36"/>
      <c r="X778" s="36"/>
      <c r="Y778" s="36"/>
      <c r="Z778" s="36"/>
      <c r="AA778" s="36"/>
      <c r="AB778" s="37"/>
      <c r="AC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>
        <f>SUM(AE778:AT778)</f>
        <v>0</v>
      </c>
    </row>
    <row r="779" spans="3:47" ht="12.75">
      <c r="C779" s="8" t="s">
        <v>1375</v>
      </c>
      <c r="D779" s="5"/>
      <c r="E779" s="24"/>
      <c r="F779" s="170"/>
      <c r="G779" s="243"/>
      <c r="H779" s="91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8"/>
      <c r="V779" s="36"/>
      <c r="W779" s="36"/>
      <c r="X779" s="36"/>
      <c r="Y779" s="36"/>
      <c r="Z779" s="36"/>
      <c r="AA779" s="36"/>
      <c r="AB779" s="37"/>
      <c r="AC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>
        <f>SUM(AE779:AT779)</f>
        <v>0</v>
      </c>
    </row>
    <row r="780" spans="2:48" ht="12.75">
      <c r="B780" s="85" t="s">
        <v>432</v>
      </c>
      <c r="C780" s="5" t="s">
        <v>515</v>
      </c>
      <c r="D780" s="5">
        <v>0.51</v>
      </c>
      <c r="E780" s="24"/>
      <c r="F780" s="170"/>
      <c r="G780" s="10">
        <v>0.3</v>
      </c>
      <c r="H780" s="91">
        <f>$D780/12</f>
        <v>0.0425</v>
      </c>
      <c r="I780" s="13">
        <f>$D780/12</f>
        <v>0.0425</v>
      </c>
      <c r="J780" s="13">
        <f aca="true" t="shared" si="153" ref="J780:S780">$D780/12</f>
        <v>0.0425</v>
      </c>
      <c r="K780" s="13">
        <f t="shared" si="153"/>
        <v>0.0425</v>
      </c>
      <c r="L780" s="13">
        <f t="shared" si="153"/>
        <v>0.0425</v>
      </c>
      <c r="M780" s="13">
        <f t="shared" si="153"/>
        <v>0.0425</v>
      </c>
      <c r="N780" s="13">
        <f t="shared" si="153"/>
        <v>0.0425</v>
      </c>
      <c r="O780" s="13">
        <f t="shared" si="153"/>
        <v>0.0425</v>
      </c>
      <c r="P780" s="13">
        <f t="shared" si="153"/>
        <v>0.0425</v>
      </c>
      <c r="Q780" s="13">
        <f t="shared" si="153"/>
        <v>0.0425</v>
      </c>
      <c r="R780" s="13">
        <f t="shared" si="153"/>
        <v>0.0425</v>
      </c>
      <c r="S780" s="13">
        <f t="shared" si="153"/>
        <v>0.0425</v>
      </c>
      <c r="T780" s="5">
        <f aca="true" t="shared" si="154" ref="T780:T787">SUM(H780:N780)</f>
        <v>0.2975</v>
      </c>
      <c r="V780" s="36"/>
      <c r="W780" s="36"/>
      <c r="X780" s="36">
        <v>0.51</v>
      </c>
      <c r="Y780" s="36"/>
      <c r="Z780" s="36"/>
      <c r="AA780" s="36">
        <f aca="true" t="shared" si="155" ref="AA780:AA787">SUM(AE780:AT780)</f>
        <v>0</v>
      </c>
      <c r="AB780" s="37"/>
      <c r="AC780" s="37">
        <f>SUM(V780:AB780)</f>
        <v>0.51</v>
      </c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3" t="s">
        <v>425</v>
      </c>
    </row>
    <row r="781" spans="1:48" ht="12.75">
      <c r="A781" s="257" t="s">
        <v>1697</v>
      </c>
      <c r="B781" s="85"/>
      <c r="C781" s="5" t="s">
        <v>1449</v>
      </c>
      <c r="D781" s="5">
        <v>0.186</v>
      </c>
      <c r="E781" s="24">
        <v>38173</v>
      </c>
      <c r="F781" s="170">
        <v>38983</v>
      </c>
      <c r="G781" s="10">
        <v>0</v>
      </c>
      <c r="H781" s="91">
        <v>0.002</v>
      </c>
      <c r="I781" s="13">
        <v>0.004</v>
      </c>
      <c r="J781" s="13">
        <v>0.004</v>
      </c>
      <c r="K781" s="13">
        <v>0.065</v>
      </c>
      <c r="L781" s="13">
        <v>0.023</v>
      </c>
      <c r="M781" s="13">
        <v>0.016</v>
      </c>
      <c r="N781" s="13">
        <v>0.016</v>
      </c>
      <c r="O781" s="13">
        <v>0.02</v>
      </c>
      <c r="P781" s="13">
        <v>0.016</v>
      </c>
      <c r="Q781" s="13">
        <v>0.02</v>
      </c>
      <c r="R781" s="13">
        <v>0</v>
      </c>
      <c r="S781" s="13">
        <v>0</v>
      </c>
      <c r="T781" s="5">
        <f t="shared" si="154"/>
        <v>0.13</v>
      </c>
      <c r="V781" s="36"/>
      <c r="W781" s="36"/>
      <c r="X781" s="36"/>
      <c r="Y781" s="36"/>
      <c r="Z781" s="36"/>
      <c r="AA781" s="36">
        <f t="shared" si="155"/>
        <v>0</v>
      </c>
      <c r="AB781" s="37">
        <v>0.186</v>
      </c>
      <c r="AC781" s="37">
        <f aca="true" t="shared" si="156" ref="AC781:AC787">SUM(V781:AB781)</f>
        <v>0.186</v>
      </c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3" t="s">
        <v>1450</v>
      </c>
    </row>
    <row r="782" spans="1:48" ht="12.75">
      <c r="A782" s="257"/>
      <c r="B782" s="33" t="s">
        <v>1698</v>
      </c>
      <c r="C782" s="5" t="s">
        <v>405</v>
      </c>
      <c r="D782" s="5">
        <v>0.2</v>
      </c>
      <c r="E782" s="24">
        <v>38292</v>
      </c>
      <c r="F782" s="170">
        <v>38384</v>
      </c>
      <c r="G782" s="10">
        <v>0</v>
      </c>
      <c r="H782" s="91"/>
      <c r="I782" s="13"/>
      <c r="J782" s="13"/>
      <c r="K782" s="13"/>
      <c r="L782" s="13"/>
      <c r="M782" s="13"/>
      <c r="N782" s="13"/>
      <c r="O782" s="13">
        <v>0.05</v>
      </c>
      <c r="P782" s="13">
        <v>0.05</v>
      </c>
      <c r="Q782" s="13">
        <v>0.05</v>
      </c>
      <c r="R782" s="13">
        <v>0.05</v>
      </c>
      <c r="S782" s="13">
        <v>0</v>
      </c>
      <c r="T782" s="5">
        <f t="shared" si="154"/>
        <v>0</v>
      </c>
      <c r="V782" s="36"/>
      <c r="W782" s="36"/>
      <c r="X782" s="36">
        <v>0.2</v>
      </c>
      <c r="Y782" s="36"/>
      <c r="Z782" s="36"/>
      <c r="AA782" s="36">
        <f t="shared" si="155"/>
        <v>0</v>
      </c>
      <c r="AB782" s="37"/>
      <c r="AC782" s="37">
        <f t="shared" si="156"/>
        <v>0.2</v>
      </c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3" t="s">
        <v>406</v>
      </c>
    </row>
    <row r="783" spans="2:47" ht="12.75">
      <c r="B783" s="85" t="s">
        <v>1624</v>
      </c>
      <c r="C783" s="5" t="s">
        <v>1625</v>
      </c>
      <c r="D783" s="5">
        <v>0</v>
      </c>
      <c r="E783" s="24"/>
      <c r="F783" s="170"/>
      <c r="G783" s="10">
        <v>0</v>
      </c>
      <c r="H783" s="91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5">
        <f t="shared" si="154"/>
        <v>0</v>
      </c>
      <c r="V783" s="36"/>
      <c r="W783" s="36"/>
      <c r="X783" s="36"/>
      <c r="Y783" s="36"/>
      <c r="Z783" s="36"/>
      <c r="AA783" s="36">
        <f t="shared" si="155"/>
        <v>0</v>
      </c>
      <c r="AB783" s="37"/>
      <c r="AC783" s="37">
        <f t="shared" si="156"/>
        <v>0</v>
      </c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</row>
    <row r="784" spans="2:47" ht="12.75">
      <c r="B784" s="33" t="s">
        <v>1623</v>
      </c>
      <c r="C784" s="5" t="s">
        <v>381</v>
      </c>
      <c r="D784" s="10">
        <f>0.5-0.013+0.279-0.024-0.01</f>
        <v>0.732</v>
      </c>
      <c r="E784" s="180">
        <v>38412</v>
      </c>
      <c r="F784" s="181">
        <v>38412</v>
      </c>
      <c r="G784" s="10">
        <v>0</v>
      </c>
      <c r="H784" s="91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>
        <f>D784</f>
        <v>0.732</v>
      </c>
      <c r="T784" s="5">
        <f t="shared" si="154"/>
        <v>0</v>
      </c>
      <c r="V784" s="36"/>
      <c r="W784" s="36"/>
      <c r="X784" s="36"/>
      <c r="Y784" s="36"/>
      <c r="Z784" s="36">
        <f>0.5-0.013+0.279-0.024-0.01</f>
        <v>0.732</v>
      </c>
      <c r="AA784" s="36">
        <f t="shared" si="155"/>
        <v>0</v>
      </c>
      <c r="AB784" s="37"/>
      <c r="AC784" s="37">
        <f t="shared" si="156"/>
        <v>0.732</v>
      </c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>
        <f>SUM(AE784:AT784)</f>
        <v>0</v>
      </c>
    </row>
    <row r="785" spans="1:47" ht="12.75">
      <c r="A785" s="33" t="s">
        <v>1458</v>
      </c>
      <c r="B785" s="33" t="s">
        <v>559</v>
      </c>
      <c r="C785" s="5" t="s">
        <v>434</v>
      </c>
      <c r="D785" s="10">
        <v>0.041</v>
      </c>
      <c r="E785" s="180">
        <v>38412</v>
      </c>
      <c r="F785" s="181">
        <v>38412</v>
      </c>
      <c r="G785" s="10">
        <v>0</v>
      </c>
      <c r="H785" s="91">
        <f>$D785/12</f>
        <v>0.003416666666666667</v>
      </c>
      <c r="I785" s="13">
        <f>$D785/12</f>
        <v>0.003416666666666667</v>
      </c>
      <c r="J785" s="13">
        <f aca="true" t="shared" si="157" ref="J785:S786">$D785/12</f>
        <v>0.003416666666666667</v>
      </c>
      <c r="K785" s="13">
        <f t="shared" si="157"/>
        <v>0.003416666666666667</v>
      </c>
      <c r="L785" s="13">
        <f t="shared" si="157"/>
        <v>0.003416666666666667</v>
      </c>
      <c r="M785" s="13">
        <f t="shared" si="157"/>
        <v>0.003416666666666667</v>
      </c>
      <c r="N785" s="13">
        <f t="shared" si="157"/>
        <v>0.003416666666666667</v>
      </c>
      <c r="O785" s="13">
        <f t="shared" si="157"/>
        <v>0.003416666666666667</v>
      </c>
      <c r="P785" s="13">
        <f t="shared" si="157"/>
        <v>0.003416666666666667</v>
      </c>
      <c r="Q785" s="13">
        <f t="shared" si="157"/>
        <v>0.003416666666666667</v>
      </c>
      <c r="R785" s="13">
        <f t="shared" si="157"/>
        <v>0.003416666666666667</v>
      </c>
      <c r="S785" s="13">
        <f t="shared" si="157"/>
        <v>0.003416666666666667</v>
      </c>
      <c r="T785" s="5">
        <f t="shared" si="154"/>
        <v>0.023916666666666662</v>
      </c>
      <c r="V785" s="36"/>
      <c r="W785" s="36"/>
      <c r="X785" s="36"/>
      <c r="Y785" s="36"/>
      <c r="Z785" s="36">
        <v>0.041</v>
      </c>
      <c r="AA785" s="36">
        <f t="shared" si="155"/>
        <v>0</v>
      </c>
      <c r="AB785" s="37"/>
      <c r="AC785" s="37">
        <f t="shared" si="156"/>
        <v>0.041</v>
      </c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</row>
    <row r="786" spans="3:47" ht="12.75">
      <c r="C786" s="5" t="s">
        <v>533</v>
      </c>
      <c r="D786" s="10">
        <v>0.7</v>
      </c>
      <c r="E786" s="180">
        <v>38412</v>
      </c>
      <c r="F786" s="181">
        <v>38412</v>
      </c>
      <c r="G786" s="10">
        <v>0.259</v>
      </c>
      <c r="H786" s="91">
        <f>$D786/12</f>
        <v>0.05833333333333333</v>
      </c>
      <c r="I786" s="13">
        <f>$D786/12</f>
        <v>0.05833333333333333</v>
      </c>
      <c r="J786" s="13">
        <f t="shared" si="157"/>
        <v>0.05833333333333333</v>
      </c>
      <c r="K786" s="13">
        <f t="shared" si="157"/>
        <v>0.05833333333333333</v>
      </c>
      <c r="L786" s="13">
        <f t="shared" si="157"/>
        <v>0.05833333333333333</v>
      </c>
      <c r="M786" s="13">
        <f t="shared" si="157"/>
        <v>0.05833333333333333</v>
      </c>
      <c r="N786" s="13">
        <f t="shared" si="157"/>
        <v>0.05833333333333333</v>
      </c>
      <c r="O786" s="13">
        <f t="shared" si="157"/>
        <v>0.05833333333333333</v>
      </c>
      <c r="P786" s="13">
        <f t="shared" si="157"/>
        <v>0.05833333333333333</v>
      </c>
      <c r="Q786" s="13">
        <f t="shared" si="157"/>
        <v>0.05833333333333333</v>
      </c>
      <c r="R786" s="13">
        <f t="shared" si="157"/>
        <v>0.05833333333333333</v>
      </c>
      <c r="S786" s="13">
        <f t="shared" si="157"/>
        <v>0.05833333333333333</v>
      </c>
      <c r="T786" s="5">
        <f t="shared" si="154"/>
        <v>0.4083333333333333</v>
      </c>
      <c r="V786" s="36"/>
      <c r="W786" s="36"/>
      <c r="X786" s="36"/>
      <c r="Y786" s="36"/>
      <c r="Z786" s="36">
        <v>0.7</v>
      </c>
      <c r="AA786" s="36">
        <f t="shared" si="155"/>
        <v>0</v>
      </c>
      <c r="AB786" s="37"/>
      <c r="AC786" s="37">
        <f t="shared" si="156"/>
        <v>0.7</v>
      </c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</row>
    <row r="787" spans="2:47" ht="13.5" thickBot="1">
      <c r="B787" s="33" t="s">
        <v>1623</v>
      </c>
      <c r="C787" s="5" t="s">
        <v>1376</v>
      </c>
      <c r="D787" s="10">
        <v>3</v>
      </c>
      <c r="E787" s="260">
        <v>38412</v>
      </c>
      <c r="F787" s="261">
        <v>38412</v>
      </c>
      <c r="G787" s="10">
        <v>0</v>
      </c>
      <c r="H787" s="91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3</v>
      </c>
      <c r="T787" s="5">
        <f t="shared" si="154"/>
        <v>0</v>
      </c>
      <c r="V787" s="36"/>
      <c r="W787" s="36"/>
      <c r="X787" s="36"/>
      <c r="Y787" s="36"/>
      <c r="Z787" s="36">
        <v>3</v>
      </c>
      <c r="AA787" s="36">
        <f t="shared" si="155"/>
        <v>0</v>
      </c>
      <c r="AB787" s="37"/>
      <c r="AC787" s="37">
        <f t="shared" si="156"/>
        <v>3</v>
      </c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>
        <f>SUM(AE787:AT787)</f>
        <v>0</v>
      </c>
    </row>
    <row r="788" spans="3:47" ht="13.5" thickBot="1">
      <c r="C788" s="8" t="s">
        <v>1717</v>
      </c>
      <c r="D788" s="25">
        <f>SUM(D779:D787)</f>
        <v>5.369</v>
      </c>
      <c r="E788" s="175"/>
      <c r="F788" s="176"/>
      <c r="G788" s="25">
        <f>SUM(G779:G787)</f>
        <v>0.5589999999999999</v>
      </c>
      <c r="H788" s="98">
        <f>SUM(H780:H787)</f>
        <v>0.10625</v>
      </c>
      <c r="I788" s="99">
        <f>SUM(I780:I787)</f>
        <v>0.10824999999999999</v>
      </c>
      <c r="J788" s="99">
        <f>SUM(J780:J787)</f>
        <v>0.10824999999999999</v>
      </c>
      <c r="K788" s="99">
        <f aca="true" t="shared" si="158" ref="K788:Q788">SUM(K780:K787)</f>
        <v>0.16925</v>
      </c>
      <c r="L788" s="99">
        <f t="shared" si="158"/>
        <v>0.12725</v>
      </c>
      <c r="M788" s="99">
        <f t="shared" si="158"/>
        <v>0.12025</v>
      </c>
      <c r="N788" s="99">
        <f t="shared" si="158"/>
        <v>0.12025</v>
      </c>
      <c r="O788" s="99">
        <f t="shared" si="158"/>
        <v>0.17425</v>
      </c>
      <c r="P788" s="99">
        <f t="shared" si="158"/>
        <v>0.17025</v>
      </c>
      <c r="Q788" s="99">
        <f t="shared" si="158"/>
        <v>0.17425</v>
      </c>
      <c r="R788" s="99">
        <f>SUM(R780:R787)</f>
        <v>0.15425</v>
      </c>
      <c r="S788" s="99">
        <f>SUM(S780:S787)</f>
        <v>3.8362499999999997</v>
      </c>
      <c r="T788" s="25">
        <f>SUM(T779:T787)</f>
        <v>0.85975</v>
      </c>
      <c r="V788" s="249">
        <f aca="true" t="shared" si="159" ref="V788:AB788">SUM(V779:V787)</f>
        <v>0</v>
      </c>
      <c r="W788" s="28">
        <f t="shared" si="159"/>
        <v>0</v>
      </c>
      <c r="X788" s="28">
        <f t="shared" si="159"/>
        <v>0.71</v>
      </c>
      <c r="Y788" s="28">
        <f t="shared" si="159"/>
        <v>0</v>
      </c>
      <c r="Z788" s="28">
        <f t="shared" si="159"/>
        <v>4.473</v>
      </c>
      <c r="AA788" s="28">
        <f t="shared" si="159"/>
        <v>0</v>
      </c>
      <c r="AB788" s="28">
        <f t="shared" si="159"/>
        <v>0.186</v>
      </c>
      <c r="AC788" s="102">
        <f>SUM(V788:AB788)</f>
        <v>5.369</v>
      </c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37">
        <f>SUM(AE788:AT788)</f>
        <v>0</v>
      </c>
    </row>
    <row r="789" spans="3:47" ht="12.75">
      <c r="C789" s="8"/>
      <c r="D789" s="8"/>
      <c r="E789" s="182"/>
      <c r="F789" s="183"/>
      <c r="G789" s="10"/>
      <c r="H789" s="91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4"/>
      <c r="V789" s="36"/>
      <c r="W789" s="36"/>
      <c r="X789" s="36"/>
      <c r="Y789" s="36"/>
      <c r="Z789" s="36"/>
      <c r="AA789" s="36"/>
      <c r="AB789" s="37"/>
      <c r="AC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>
        <f>SUM(AE789:AT789)</f>
        <v>0</v>
      </c>
    </row>
    <row r="790" spans="3:47" ht="12.75">
      <c r="C790" s="8" t="s">
        <v>1436</v>
      </c>
      <c r="D790" s="8"/>
      <c r="E790" s="182"/>
      <c r="F790" s="183"/>
      <c r="G790" s="10"/>
      <c r="H790" s="91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8"/>
      <c r="V790" s="36"/>
      <c r="W790" s="36"/>
      <c r="X790" s="36"/>
      <c r="Y790" s="36"/>
      <c r="Z790" s="36"/>
      <c r="AA790" s="36"/>
      <c r="AB790" s="37"/>
      <c r="AC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>
        <f>SUM(AE790:AT790)</f>
        <v>0</v>
      </c>
    </row>
    <row r="791" spans="3:47" ht="12.75">
      <c r="C791" s="103" t="s">
        <v>466</v>
      </c>
      <c r="D791" s="8"/>
      <c r="E791" s="182"/>
      <c r="F791" s="183"/>
      <c r="G791" s="10"/>
      <c r="H791" s="91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8"/>
      <c r="V791" s="36"/>
      <c r="W791" s="36"/>
      <c r="X791" s="36"/>
      <c r="Y791" s="36"/>
      <c r="Z791" s="36"/>
      <c r="AA791" s="36"/>
      <c r="AB791" s="37"/>
      <c r="AC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</row>
    <row r="792" spans="2:47" ht="12.75">
      <c r="B792" s="33" t="s">
        <v>90</v>
      </c>
      <c r="C792" s="5" t="s">
        <v>95</v>
      </c>
      <c r="D792" s="10">
        <f>0.05+0.014</f>
        <v>0.064</v>
      </c>
      <c r="E792" s="180">
        <v>38231</v>
      </c>
      <c r="F792" s="181">
        <v>38412</v>
      </c>
      <c r="G792" s="10">
        <v>0.002</v>
      </c>
      <c r="H792" s="91">
        <v>0.001</v>
      </c>
      <c r="I792" s="13">
        <v>0</v>
      </c>
      <c r="J792" s="13">
        <v>0</v>
      </c>
      <c r="K792" s="13">
        <v>0</v>
      </c>
      <c r="L792" s="13">
        <v>0</v>
      </c>
      <c r="M792" s="13">
        <v>0.009</v>
      </c>
      <c r="N792" s="13">
        <v>0.009</v>
      </c>
      <c r="O792" s="13">
        <v>0.009</v>
      </c>
      <c r="P792" s="13">
        <v>0.009</v>
      </c>
      <c r="Q792" s="13">
        <v>0.009</v>
      </c>
      <c r="R792" s="13">
        <v>0.009</v>
      </c>
      <c r="S792" s="13">
        <v>0.009</v>
      </c>
      <c r="T792" s="5">
        <f aca="true" t="shared" si="160" ref="T792:T815">SUM(H792:N792)</f>
        <v>0.018999999999999996</v>
      </c>
      <c r="V792" s="36"/>
      <c r="W792" s="36"/>
      <c r="X792" s="36"/>
      <c r="Y792" s="36"/>
      <c r="Z792" s="36">
        <v>0.014</v>
      </c>
      <c r="AA792" s="36">
        <f aca="true" t="shared" si="161" ref="AA792:AA800">SUM(AE792:AT792)</f>
        <v>0.05</v>
      </c>
      <c r="AB792" s="37"/>
      <c r="AC792" s="37">
        <f>SUM(V792:AB792)</f>
        <v>0.064</v>
      </c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>
        <v>0.05</v>
      </c>
      <c r="AP792" s="37"/>
      <c r="AQ792" s="37"/>
      <c r="AR792" s="37"/>
      <c r="AS792" s="37"/>
      <c r="AT792" s="37"/>
      <c r="AU792" s="37">
        <f>SUM(AE792:AT792)</f>
        <v>0.05</v>
      </c>
    </row>
    <row r="793" spans="2:47" ht="12.75">
      <c r="B793" s="33" t="s">
        <v>92</v>
      </c>
      <c r="C793" s="5" t="s">
        <v>97</v>
      </c>
      <c r="D793" s="10">
        <v>0.176</v>
      </c>
      <c r="E793" s="180">
        <v>38231</v>
      </c>
      <c r="F793" s="181">
        <v>38412</v>
      </c>
      <c r="G793" s="10">
        <v>0.094</v>
      </c>
      <c r="H793" s="91">
        <v>0.087</v>
      </c>
      <c r="I793" s="13">
        <v>0</v>
      </c>
      <c r="J793" s="13">
        <v>0</v>
      </c>
      <c r="K793" s="13">
        <v>0</v>
      </c>
      <c r="L793" s="13">
        <v>0</v>
      </c>
      <c r="M793" s="13">
        <v>0.012714285714285714</v>
      </c>
      <c r="N793" s="13">
        <v>0.012714285714285714</v>
      </c>
      <c r="O793" s="13">
        <v>0.012714285714285714</v>
      </c>
      <c r="P793" s="13">
        <v>0.012714285714285714</v>
      </c>
      <c r="Q793" s="13">
        <v>0.012714285714285714</v>
      </c>
      <c r="R793" s="13">
        <v>0.012714285714285714</v>
      </c>
      <c r="S793" s="13">
        <v>0.012714285714285714</v>
      </c>
      <c r="T793" s="5">
        <f t="shared" si="160"/>
        <v>0.11242857142857143</v>
      </c>
      <c r="V793" s="36"/>
      <c r="W793" s="36"/>
      <c r="X793" s="36"/>
      <c r="Y793" s="36"/>
      <c r="Z793" s="36"/>
      <c r="AA793" s="36">
        <f t="shared" si="161"/>
        <v>0.176</v>
      </c>
      <c r="AB793" s="37"/>
      <c r="AC793" s="37">
        <f>SUM(V793:AB793)</f>
        <v>0.176</v>
      </c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>
        <v>0.176</v>
      </c>
      <c r="AP793" s="37"/>
      <c r="AQ793" s="37"/>
      <c r="AR793" s="37"/>
      <c r="AS793" s="37"/>
      <c r="AT793" s="37"/>
      <c r="AU793" s="37">
        <f aca="true" t="shared" si="162" ref="AU793:AU825">SUM(AE793:AT793)</f>
        <v>0.176</v>
      </c>
    </row>
    <row r="794" spans="2:47" ht="12.75">
      <c r="B794" s="33" t="s">
        <v>91</v>
      </c>
      <c r="C794" s="5" t="s">
        <v>96</v>
      </c>
      <c r="D794" s="10">
        <f>0.357-0.014-0.173</f>
        <v>0.16999999999999998</v>
      </c>
      <c r="E794" s="180">
        <v>38231</v>
      </c>
      <c r="F794" s="181">
        <v>38412</v>
      </c>
      <c r="G794" s="10"/>
      <c r="H794" s="91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0.024285714285714282</v>
      </c>
      <c r="N794" s="13">
        <v>0.024285714285714282</v>
      </c>
      <c r="O794" s="13">
        <v>0.024285714285714282</v>
      </c>
      <c r="P794" s="13">
        <v>0.024285714285714282</v>
      </c>
      <c r="Q794" s="13">
        <v>0.024285714285714282</v>
      </c>
      <c r="R794" s="13">
        <v>0.024285714285714282</v>
      </c>
      <c r="S794" s="13">
        <v>0.024285714285714282</v>
      </c>
      <c r="T794" s="5">
        <f t="shared" si="160"/>
        <v>0.048571428571428564</v>
      </c>
      <c r="V794" s="36"/>
      <c r="W794" s="36"/>
      <c r="X794" s="36"/>
      <c r="Y794" s="36"/>
      <c r="Z794" s="36"/>
      <c r="AA794" s="36">
        <f t="shared" si="161"/>
        <v>0.16999999999999998</v>
      </c>
      <c r="AB794" s="37"/>
      <c r="AC794" s="37">
        <f>SUM(V794:AB794)</f>
        <v>0.16999999999999998</v>
      </c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>
        <f>0.357-0.014-0.173</f>
        <v>0.16999999999999998</v>
      </c>
      <c r="AP794" s="37"/>
      <c r="AQ794" s="37"/>
      <c r="AR794" s="37"/>
      <c r="AS794" s="37"/>
      <c r="AT794" s="37"/>
      <c r="AU794" s="37">
        <f t="shared" si="162"/>
        <v>0.16999999999999998</v>
      </c>
    </row>
    <row r="795" spans="2:47" ht="12.75">
      <c r="B795" s="33" t="s">
        <v>288</v>
      </c>
      <c r="C795" s="5" t="s">
        <v>289</v>
      </c>
      <c r="D795" s="10"/>
      <c r="E795" s="180"/>
      <c r="F795" s="181"/>
      <c r="G795" s="10">
        <v>0.001</v>
      </c>
      <c r="H795" s="91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5"/>
      <c r="V795" s="36"/>
      <c r="W795" s="36"/>
      <c r="X795" s="36"/>
      <c r="Y795" s="36"/>
      <c r="Z795" s="36"/>
      <c r="AA795" s="36"/>
      <c r="AB795" s="37"/>
      <c r="AC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</row>
    <row r="796" spans="2:47" ht="12.75">
      <c r="B796" s="33" t="s">
        <v>93</v>
      </c>
      <c r="C796" s="5" t="s">
        <v>98</v>
      </c>
      <c r="D796" s="10">
        <v>0.217</v>
      </c>
      <c r="E796" s="180">
        <v>38231</v>
      </c>
      <c r="F796" s="181">
        <v>38412</v>
      </c>
      <c r="G796" s="10"/>
      <c r="H796" s="91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0.031</v>
      </c>
      <c r="N796" s="13">
        <v>0.031</v>
      </c>
      <c r="O796" s="13">
        <v>0.031</v>
      </c>
      <c r="P796" s="13">
        <v>0.031</v>
      </c>
      <c r="Q796" s="13">
        <v>0.031</v>
      </c>
      <c r="R796" s="13">
        <v>0.031</v>
      </c>
      <c r="S796" s="13">
        <v>0.031</v>
      </c>
      <c r="T796" s="5">
        <f t="shared" si="160"/>
        <v>0.062</v>
      </c>
      <c r="V796" s="36"/>
      <c r="W796" s="36"/>
      <c r="X796" s="36"/>
      <c r="Y796" s="36"/>
      <c r="Z796" s="36"/>
      <c r="AA796" s="36">
        <f t="shared" si="161"/>
        <v>0.217</v>
      </c>
      <c r="AB796" s="37"/>
      <c r="AC796" s="37">
        <f>SUM(V796:AB796)</f>
        <v>0.217</v>
      </c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>
        <v>0.217</v>
      </c>
      <c r="AP796" s="37"/>
      <c r="AQ796" s="37"/>
      <c r="AR796" s="37"/>
      <c r="AS796" s="37"/>
      <c r="AT796" s="37"/>
      <c r="AU796" s="37">
        <f t="shared" si="162"/>
        <v>0.217</v>
      </c>
    </row>
    <row r="797" spans="2:47" ht="12.75">
      <c r="B797" s="33" t="s">
        <v>94</v>
      </c>
      <c r="C797" s="5" t="s">
        <v>99</v>
      </c>
      <c r="D797" s="10">
        <v>0.006</v>
      </c>
      <c r="E797" s="180">
        <v>38231</v>
      </c>
      <c r="F797" s="181">
        <v>38412</v>
      </c>
      <c r="G797" s="10"/>
      <c r="H797" s="91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0.0008571428571428572</v>
      </c>
      <c r="N797" s="13">
        <v>0.0008571428571428572</v>
      </c>
      <c r="O797" s="13">
        <v>0.0008571428571428572</v>
      </c>
      <c r="P797" s="13">
        <v>0.0008571428571428572</v>
      </c>
      <c r="Q797" s="13">
        <v>0.0008571428571428572</v>
      </c>
      <c r="R797" s="13">
        <v>0.0008571428571428572</v>
      </c>
      <c r="S797" s="13">
        <v>0.0008571428571428572</v>
      </c>
      <c r="T797" s="5">
        <f t="shared" si="160"/>
        <v>0.0017142857142857144</v>
      </c>
      <c r="V797" s="36"/>
      <c r="W797" s="36"/>
      <c r="X797" s="36"/>
      <c r="Y797" s="36"/>
      <c r="Z797" s="36"/>
      <c r="AA797" s="36">
        <f>SUM(AE797:AT797)</f>
        <v>0.006</v>
      </c>
      <c r="AB797" s="37"/>
      <c r="AC797" s="37">
        <f>SUM(V797:AB797)</f>
        <v>0.006</v>
      </c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>
        <v>0.006</v>
      </c>
      <c r="AP797" s="37"/>
      <c r="AQ797" s="37"/>
      <c r="AR797" s="37"/>
      <c r="AS797" s="37"/>
      <c r="AT797" s="37"/>
      <c r="AU797" s="37">
        <f t="shared" si="162"/>
        <v>0.006</v>
      </c>
    </row>
    <row r="798" spans="2:47" ht="12.75">
      <c r="B798" s="33" t="s">
        <v>563</v>
      </c>
      <c r="C798" s="5" t="s">
        <v>564</v>
      </c>
      <c r="D798" s="10"/>
      <c r="E798" s="180"/>
      <c r="F798" s="181"/>
      <c r="G798" s="10">
        <v>0.016</v>
      </c>
      <c r="H798" s="91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0</v>
      </c>
      <c r="P798" s="13">
        <v>0</v>
      </c>
      <c r="Q798" s="13">
        <v>0</v>
      </c>
      <c r="R798" s="13">
        <v>0</v>
      </c>
      <c r="S798" s="13">
        <v>0</v>
      </c>
      <c r="T798" s="5">
        <f t="shared" si="160"/>
        <v>0</v>
      </c>
      <c r="V798" s="36"/>
      <c r="W798" s="36"/>
      <c r="X798" s="36"/>
      <c r="Y798" s="36"/>
      <c r="Z798" s="36"/>
      <c r="AA798" s="36"/>
      <c r="AB798" s="37"/>
      <c r="AC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>
        <f t="shared" si="162"/>
        <v>0</v>
      </c>
    </row>
    <row r="799" spans="2:48" ht="12.75">
      <c r="B799" s="33" t="s">
        <v>1626</v>
      </c>
      <c r="C799" s="5" t="s">
        <v>1437</v>
      </c>
      <c r="D799" s="10">
        <f>0.695+0.341-0.336</f>
        <v>0.7</v>
      </c>
      <c r="E799" s="180">
        <v>38231</v>
      </c>
      <c r="F799" s="181">
        <v>38412</v>
      </c>
      <c r="G799" s="10">
        <v>0.06</v>
      </c>
      <c r="H799" s="91">
        <v>0.004</v>
      </c>
      <c r="I799" s="13">
        <v>0</v>
      </c>
      <c r="J799" s="13">
        <v>0</v>
      </c>
      <c r="K799" s="13">
        <v>0</v>
      </c>
      <c r="L799" s="13">
        <v>0</v>
      </c>
      <c r="M799" s="13">
        <v>0.09942857142857142</v>
      </c>
      <c r="N799" s="13">
        <v>0.09942857142857142</v>
      </c>
      <c r="O799" s="13">
        <v>0.09942857142857142</v>
      </c>
      <c r="P799" s="13">
        <v>0.09942857142857142</v>
      </c>
      <c r="Q799" s="13">
        <v>0.09942857142857142</v>
      </c>
      <c r="R799" s="13">
        <v>0.09942857142857142</v>
      </c>
      <c r="S799" s="13">
        <v>0.09942857142857142</v>
      </c>
      <c r="T799" s="5">
        <f t="shared" si="160"/>
        <v>0.20285714285714285</v>
      </c>
      <c r="V799" s="36"/>
      <c r="W799" s="36"/>
      <c r="X799" s="36"/>
      <c r="Y799" s="36"/>
      <c r="Z799" s="36">
        <v>0.025</v>
      </c>
      <c r="AA799" s="36">
        <f t="shared" si="161"/>
        <v>0.6749999999999999</v>
      </c>
      <c r="AB799" s="37"/>
      <c r="AC799" s="37">
        <f>SUM(V799:AB799)</f>
        <v>0.7</v>
      </c>
      <c r="AE799" s="37"/>
      <c r="AF799" s="37"/>
      <c r="AG799" s="37"/>
      <c r="AH799" s="37"/>
      <c r="AI799" s="37"/>
      <c r="AJ799" s="37"/>
      <c r="AK799" s="37"/>
      <c r="AL799" s="37"/>
      <c r="AM799" s="37"/>
      <c r="AN799" s="37">
        <v>0.35</v>
      </c>
      <c r="AO799" s="37">
        <v>0.225</v>
      </c>
      <c r="AP799" s="37"/>
      <c r="AQ799" s="37"/>
      <c r="AR799" s="37"/>
      <c r="AS799" s="37"/>
      <c r="AT799" s="37">
        <v>0.1</v>
      </c>
      <c r="AU799" s="37">
        <f t="shared" si="162"/>
        <v>0.6749999999999999</v>
      </c>
      <c r="AV799" s="33" t="s">
        <v>1654</v>
      </c>
    </row>
    <row r="800" spans="3:47" ht="12.75">
      <c r="C800" s="5" t="s">
        <v>1389</v>
      </c>
      <c r="D800" s="10"/>
      <c r="E800" s="180"/>
      <c r="F800" s="181"/>
      <c r="G800" s="10"/>
      <c r="H800" s="91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0</v>
      </c>
      <c r="P800" s="13">
        <v>0</v>
      </c>
      <c r="Q800" s="13">
        <v>0</v>
      </c>
      <c r="R800" s="13">
        <v>0</v>
      </c>
      <c r="S800" s="13">
        <v>0</v>
      </c>
      <c r="T800" s="5">
        <f t="shared" si="160"/>
        <v>0</v>
      </c>
      <c r="V800" s="36"/>
      <c r="W800" s="36"/>
      <c r="X800" s="36"/>
      <c r="Y800" s="36"/>
      <c r="Z800" s="36"/>
      <c r="AA800" s="36">
        <f t="shared" si="161"/>
        <v>0</v>
      </c>
      <c r="AB800" s="37"/>
      <c r="AC800" s="37">
        <f>SUM(V800:AB800)</f>
        <v>0</v>
      </c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P800" s="37"/>
      <c r="AQ800" s="37"/>
      <c r="AR800" s="37"/>
      <c r="AS800" s="37"/>
      <c r="AT800" s="37"/>
      <c r="AU800" s="37">
        <f t="shared" si="162"/>
        <v>0</v>
      </c>
    </row>
    <row r="801" spans="2:47" ht="12.75">
      <c r="B801" s="33" t="s">
        <v>631</v>
      </c>
      <c r="C801" s="5" t="s">
        <v>635</v>
      </c>
      <c r="D801" s="10">
        <v>0.025</v>
      </c>
      <c r="E801" s="180"/>
      <c r="F801" s="181"/>
      <c r="G801" s="10"/>
      <c r="H801" s="91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5"/>
      <c r="V801" s="36"/>
      <c r="W801" s="36"/>
      <c r="X801" s="36"/>
      <c r="Y801" s="36"/>
      <c r="Z801" s="36"/>
      <c r="AA801" s="36">
        <f aca="true" t="shared" si="163" ref="AA801:AA809">SUM(AE801:AT801)</f>
        <v>0.025</v>
      </c>
      <c r="AB801" s="37"/>
      <c r="AC801" s="37">
        <f aca="true" t="shared" si="164" ref="AC801:AC809">SUM(V801:AB801)</f>
        <v>0.025</v>
      </c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P801" s="37"/>
      <c r="AQ801" s="37">
        <v>0.025</v>
      </c>
      <c r="AR801" s="37"/>
      <c r="AS801" s="37"/>
      <c r="AT801" s="37"/>
      <c r="AU801" s="37"/>
    </row>
    <row r="802" spans="2:47" ht="12.75">
      <c r="B802" s="33" t="s">
        <v>632</v>
      </c>
      <c r="C802" s="5" t="s">
        <v>636</v>
      </c>
      <c r="D802" s="10">
        <v>0.025</v>
      </c>
      <c r="E802" s="180"/>
      <c r="F802" s="181"/>
      <c r="G802" s="10"/>
      <c r="H802" s="91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5"/>
      <c r="V802" s="36"/>
      <c r="W802" s="36"/>
      <c r="X802" s="36"/>
      <c r="Y802" s="36"/>
      <c r="Z802" s="36"/>
      <c r="AA802" s="36">
        <f t="shared" si="163"/>
        <v>0.025</v>
      </c>
      <c r="AB802" s="37"/>
      <c r="AC802" s="37">
        <f t="shared" si="164"/>
        <v>0.025</v>
      </c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P802" s="37"/>
      <c r="AQ802" s="37">
        <v>0.025</v>
      </c>
      <c r="AR802" s="37"/>
      <c r="AS802" s="37"/>
      <c r="AT802" s="37"/>
      <c r="AU802" s="37"/>
    </row>
    <row r="803" spans="2:47" ht="12.75">
      <c r="B803" s="33" t="s">
        <v>633</v>
      </c>
      <c r="C803" s="5" t="s">
        <v>637</v>
      </c>
      <c r="D803" s="10">
        <v>0.012</v>
      </c>
      <c r="E803" s="180"/>
      <c r="F803" s="181"/>
      <c r="G803" s="10"/>
      <c r="H803" s="91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5"/>
      <c r="V803" s="36"/>
      <c r="W803" s="36"/>
      <c r="X803" s="36"/>
      <c r="Y803" s="36"/>
      <c r="Z803" s="36"/>
      <c r="AA803" s="36">
        <f t="shared" si="163"/>
        <v>0.012</v>
      </c>
      <c r="AB803" s="37"/>
      <c r="AC803" s="37">
        <f t="shared" si="164"/>
        <v>0.012</v>
      </c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P803" s="37"/>
      <c r="AQ803" s="37">
        <v>0.012</v>
      </c>
      <c r="AR803" s="37"/>
      <c r="AS803" s="37"/>
      <c r="AT803" s="37"/>
      <c r="AU803" s="37"/>
    </row>
    <row r="804" spans="2:47" ht="12.75">
      <c r="B804" s="33" t="s">
        <v>634</v>
      </c>
      <c r="C804" s="5" t="s">
        <v>638</v>
      </c>
      <c r="D804" s="10">
        <v>0.059</v>
      </c>
      <c r="E804" s="180"/>
      <c r="F804" s="181"/>
      <c r="G804" s="10"/>
      <c r="H804" s="91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5"/>
      <c r="V804" s="36"/>
      <c r="W804" s="36"/>
      <c r="X804" s="36"/>
      <c r="Y804" s="36"/>
      <c r="Z804" s="36"/>
      <c r="AA804" s="36">
        <f t="shared" si="163"/>
        <v>0.059</v>
      </c>
      <c r="AB804" s="37"/>
      <c r="AC804" s="37">
        <f t="shared" si="164"/>
        <v>0.059</v>
      </c>
      <c r="AE804" s="37"/>
      <c r="AF804" s="37">
        <v>0.059</v>
      </c>
      <c r="AG804" s="37"/>
      <c r="AH804" s="37"/>
      <c r="AI804" s="37"/>
      <c r="AJ804" s="37"/>
      <c r="AK804" s="37"/>
      <c r="AL804" s="37"/>
      <c r="AM804" s="37"/>
      <c r="AN804" s="37"/>
      <c r="AP804" s="37"/>
      <c r="AQ804" s="37"/>
      <c r="AR804" s="37"/>
      <c r="AS804" s="37"/>
      <c r="AT804" s="37"/>
      <c r="AU804" s="37"/>
    </row>
    <row r="805" spans="2:48" ht="12.75">
      <c r="B805" s="33" t="s">
        <v>639</v>
      </c>
      <c r="C805" s="5" t="s">
        <v>641</v>
      </c>
      <c r="D805" s="10">
        <v>0.03</v>
      </c>
      <c r="E805" s="180"/>
      <c r="F805" s="181"/>
      <c r="G805" s="10"/>
      <c r="H805" s="91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5"/>
      <c r="V805" s="36"/>
      <c r="W805" s="36"/>
      <c r="X805" s="36"/>
      <c r="Y805" s="36"/>
      <c r="Z805" s="36"/>
      <c r="AA805" s="36">
        <f>SUM(AE805:AT805)</f>
        <v>0.03</v>
      </c>
      <c r="AB805" s="37"/>
      <c r="AC805" s="37">
        <f t="shared" si="164"/>
        <v>0.03</v>
      </c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P805" s="37"/>
      <c r="AR805" s="37"/>
      <c r="AS805" s="37"/>
      <c r="AT805" s="37">
        <v>0.03</v>
      </c>
      <c r="AU805" s="37"/>
      <c r="AV805" s="33" t="s">
        <v>643</v>
      </c>
    </row>
    <row r="806" spans="2:48" ht="12.75">
      <c r="B806" s="33" t="s">
        <v>640</v>
      </c>
      <c r="C806" s="5" t="s">
        <v>642</v>
      </c>
      <c r="D806" s="10">
        <v>0.015</v>
      </c>
      <c r="E806" s="180"/>
      <c r="F806" s="181"/>
      <c r="G806" s="10"/>
      <c r="H806" s="91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5"/>
      <c r="V806" s="36"/>
      <c r="W806" s="36"/>
      <c r="X806" s="36"/>
      <c r="Y806" s="36"/>
      <c r="Z806" s="36"/>
      <c r="AA806" s="36">
        <f>SUM(AE806:AT806)</f>
        <v>0.015</v>
      </c>
      <c r="AB806" s="37"/>
      <c r="AC806" s="37">
        <f t="shared" si="164"/>
        <v>0.015</v>
      </c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P806" s="37"/>
      <c r="AR806" s="37"/>
      <c r="AS806" s="37"/>
      <c r="AT806" s="37">
        <v>0.015</v>
      </c>
      <c r="AU806" s="37"/>
      <c r="AV806" s="33" t="s">
        <v>644</v>
      </c>
    </row>
    <row r="807" spans="2:47" ht="12.75">
      <c r="B807" s="33" t="s">
        <v>293</v>
      </c>
      <c r="C807" s="5" t="s">
        <v>291</v>
      </c>
      <c r="D807" s="10">
        <v>0.128</v>
      </c>
      <c r="E807" s="180"/>
      <c r="F807" s="181"/>
      <c r="G807" s="10">
        <v>0.093</v>
      </c>
      <c r="H807" s="91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5"/>
      <c r="V807" s="36"/>
      <c r="W807" s="36"/>
      <c r="X807" s="36"/>
      <c r="Y807" s="36"/>
      <c r="Z807" s="36"/>
      <c r="AA807" s="36">
        <f t="shared" si="163"/>
        <v>0.06</v>
      </c>
      <c r="AB807" s="37">
        <v>0.068</v>
      </c>
      <c r="AC807" s="37">
        <f t="shared" si="164"/>
        <v>0.128</v>
      </c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P807" s="37"/>
      <c r="AQ807" s="37">
        <v>0.06</v>
      </c>
      <c r="AR807" s="37"/>
      <c r="AS807" s="37"/>
      <c r="AT807" s="37"/>
      <c r="AU807" s="37"/>
    </row>
    <row r="808" spans="2:48" ht="12.75">
      <c r="B808" s="33" t="s">
        <v>294</v>
      </c>
      <c r="C808" s="5" t="s">
        <v>292</v>
      </c>
      <c r="D808" s="10">
        <v>0.252</v>
      </c>
      <c r="E808" s="180"/>
      <c r="F808" s="181"/>
      <c r="G808" s="10">
        <v>0.095</v>
      </c>
      <c r="H808" s="91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5"/>
      <c r="V808" s="36">
        <v>0.05</v>
      </c>
      <c r="X808" s="36"/>
      <c r="Y808" s="36"/>
      <c r="Z808" s="36">
        <v>0.05</v>
      </c>
      <c r="AA808" s="36">
        <f t="shared" si="163"/>
        <v>0</v>
      </c>
      <c r="AB808" s="37">
        <f>0.152</f>
        <v>0.152</v>
      </c>
      <c r="AC808" s="37">
        <f>SUM(V808:AB808)</f>
        <v>0.252</v>
      </c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P808" s="37"/>
      <c r="AQ808" s="37"/>
      <c r="AR808" s="37"/>
      <c r="AS808" s="37"/>
      <c r="AT808" s="37"/>
      <c r="AU808" s="37"/>
      <c r="AV808" s="33" t="s">
        <v>646</v>
      </c>
    </row>
    <row r="809" spans="3:47" ht="12.75">
      <c r="C809" s="5" t="s">
        <v>290</v>
      </c>
      <c r="D809" s="10"/>
      <c r="E809" s="180"/>
      <c r="F809" s="181"/>
      <c r="G809" s="10"/>
      <c r="H809" s="91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5"/>
      <c r="V809" s="36"/>
      <c r="W809" s="36"/>
      <c r="X809" s="36"/>
      <c r="Y809" s="36"/>
      <c r="Z809" s="36"/>
      <c r="AA809" s="36">
        <f t="shared" si="163"/>
        <v>0</v>
      </c>
      <c r="AB809" s="37"/>
      <c r="AC809" s="37">
        <f t="shared" si="164"/>
        <v>0</v>
      </c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P809" s="37"/>
      <c r="AQ809" s="37"/>
      <c r="AR809" s="37"/>
      <c r="AS809" s="37"/>
      <c r="AT809" s="37"/>
      <c r="AU809" s="37"/>
    </row>
    <row r="810" spans="2:47" ht="12.75">
      <c r="B810" s="33" t="s">
        <v>516</v>
      </c>
      <c r="C810" s="5" t="s">
        <v>518</v>
      </c>
      <c r="D810" s="10"/>
      <c r="E810" s="180"/>
      <c r="F810" s="181"/>
      <c r="G810" s="26">
        <v>0.001</v>
      </c>
      <c r="H810" s="91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5">
        <f t="shared" si="160"/>
        <v>0</v>
      </c>
      <c r="V810" s="36"/>
      <c r="W810" s="36"/>
      <c r="X810" s="36"/>
      <c r="Y810" s="36"/>
      <c r="Z810" s="36"/>
      <c r="AA810" s="36"/>
      <c r="AB810" s="37"/>
      <c r="AC810" s="37">
        <f aca="true" t="shared" si="165" ref="AC810:AC815">SUM(V810:AB810)</f>
        <v>0</v>
      </c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>
        <f t="shared" si="162"/>
        <v>0</v>
      </c>
    </row>
    <row r="811" spans="2:47" ht="12.75">
      <c r="B811" s="33" t="s">
        <v>175</v>
      </c>
      <c r="C811" s="5" t="s">
        <v>178</v>
      </c>
      <c r="D811" s="10"/>
      <c r="E811" s="180"/>
      <c r="F811" s="181"/>
      <c r="G811" s="10">
        <v>0</v>
      </c>
      <c r="H811" s="91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5">
        <f t="shared" si="160"/>
        <v>0</v>
      </c>
      <c r="V811" s="36"/>
      <c r="W811" s="36"/>
      <c r="X811" s="36"/>
      <c r="Y811" s="36"/>
      <c r="Z811" s="36"/>
      <c r="AA811" s="36"/>
      <c r="AB811" s="37"/>
      <c r="AC811" s="37">
        <f t="shared" si="165"/>
        <v>0</v>
      </c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>
        <f t="shared" si="162"/>
        <v>0</v>
      </c>
    </row>
    <row r="812" spans="2:47" ht="12.75">
      <c r="B812" s="33" t="s">
        <v>156</v>
      </c>
      <c r="C812" s="5" t="s">
        <v>157</v>
      </c>
      <c r="D812" s="10"/>
      <c r="E812" s="180"/>
      <c r="F812" s="181"/>
      <c r="G812" s="10">
        <v>0</v>
      </c>
      <c r="H812" s="91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5">
        <f t="shared" si="160"/>
        <v>0</v>
      </c>
      <c r="V812" s="36"/>
      <c r="W812" s="36"/>
      <c r="X812" s="36"/>
      <c r="Y812" s="36"/>
      <c r="Z812" s="36"/>
      <c r="AA812" s="36"/>
      <c r="AB812" s="37"/>
      <c r="AC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>
        <f t="shared" si="162"/>
        <v>0</v>
      </c>
    </row>
    <row r="813" spans="2:47" ht="12.75">
      <c r="B813" s="33" t="s">
        <v>176</v>
      </c>
      <c r="C813" s="5" t="s">
        <v>519</v>
      </c>
      <c r="D813" s="10"/>
      <c r="E813" s="180"/>
      <c r="F813" s="181"/>
      <c r="G813" s="10">
        <v>0.011</v>
      </c>
      <c r="H813" s="91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0</v>
      </c>
      <c r="Q813" s="13">
        <v>0</v>
      </c>
      <c r="R813" s="13">
        <v>0</v>
      </c>
      <c r="S813" s="13">
        <v>0</v>
      </c>
      <c r="T813" s="5">
        <f t="shared" si="160"/>
        <v>0</v>
      </c>
      <c r="V813" s="36"/>
      <c r="W813" s="36"/>
      <c r="X813" s="36"/>
      <c r="Y813" s="36"/>
      <c r="Z813" s="36"/>
      <c r="AA813" s="36"/>
      <c r="AB813" s="37"/>
      <c r="AC813" s="37">
        <f t="shared" si="165"/>
        <v>0</v>
      </c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>
        <f t="shared" si="162"/>
        <v>0</v>
      </c>
    </row>
    <row r="814" spans="2:47" ht="12.75">
      <c r="B814" s="33" t="s">
        <v>177</v>
      </c>
      <c r="C814" s="5" t="s">
        <v>520</v>
      </c>
      <c r="D814" s="10"/>
      <c r="E814" s="180"/>
      <c r="F814" s="181"/>
      <c r="G814" s="10">
        <v>0.004</v>
      </c>
      <c r="H814" s="91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5">
        <f t="shared" si="160"/>
        <v>0</v>
      </c>
      <c r="V814" s="36"/>
      <c r="W814" s="36"/>
      <c r="X814" s="36"/>
      <c r="Y814" s="36"/>
      <c r="Z814" s="36"/>
      <c r="AA814" s="36"/>
      <c r="AB814" s="37"/>
      <c r="AC814" s="37">
        <f t="shared" si="165"/>
        <v>0</v>
      </c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>
        <f t="shared" si="162"/>
        <v>0</v>
      </c>
    </row>
    <row r="815" spans="2:47" ht="12.75">
      <c r="B815" s="33" t="s">
        <v>517</v>
      </c>
      <c r="C815" s="5" t="s">
        <v>521</v>
      </c>
      <c r="D815" s="10"/>
      <c r="E815" s="180"/>
      <c r="F815" s="181"/>
      <c r="G815" s="10">
        <v>0.031</v>
      </c>
      <c r="H815" s="91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0</v>
      </c>
      <c r="R815" s="13">
        <v>0</v>
      </c>
      <c r="S815" s="13">
        <v>0</v>
      </c>
      <c r="T815" s="5">
        <f t="shared" si="160"/>
        <v>0</v>
      </c>
      <c r="V815" s="36"/>
      <c r="W815" s="36"/>
      <c r="X815" s="36"/>
      <c r="Y815" s="36"/>
      <c r="Z815" s="36"/>
      <c r="AA815" s="36"/>
      <c r="AB815" s="37"/>
      <c r="AC815" s="37">
        <f t="shared" si="165"/>
        <v>0</v>
      </c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>
        <f t="shared" si="162"/>
        <v>0</v>
      </c>
    </row>
    <row r="816" spans="2:47" ht="12.75">
      <c r="B816" s="33" t="s">
        <v>130</v>
      </c>
      <c r="C816" s="5" t="s">
        <v>131</v>
      </c>
      <c r="D816" s="10"/>
      <c r="E816" s="180"/>
      <c r="F816" s="181"/>
      <c r="G816" s="10">
        <v>0.001</v>
      </c>
      <c r="H816" s="91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5"/>
      <c r="V816" s="36"/>
      <c r="W816" s="36"/>
      <c r="X816" s="36"/>
      <c r="Y816" s="36"/>
      <c r="Z816" s="36"/>
      <c r="AA816" s="36"/>
      <c r="AB816" s="37"/>
      <c r="AC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>
        <f t="shared" si="162"/>
        <v>0</v>
      </c>
    </row>
    <row r="817" spans="2:47" ht="12.75">
      <c r="B817" s="33" t="s">
        <v>1479</v>
      </c>
      <c r="C817" s="5" t="s">
        <v>1475</v>
      </c>
      <c r="D817" s="10"/>
      <c r="E817" s="180"/>
      <c r="F817" s="181"/>
      <c r="G817" s="10">
        <v>0.001</v>
      </c>
      <c r="H817" s="91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0</v>
      </c>
      <c r="Q817" s="13">
        <v>0</v>
      </c>
      <c r="R817" s="13">
        <v>0</v>
      </c>
      <c r="S817" s="13">
        <v>0</v>
      </c>
      <c r="T817" s="5"/>
      <c r="V817" s="36"/>
      <c r="W817" s="36"/>
      <c r="X817" s="36"/>
      <c r="Y817" s="36"/>
      <c r="Z817" s="36"/>
      <c r="AA817" s="36"/>
      <c r="AB817" s="37"/>
      <c r="AC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>
        <f t="shared" si="162"/>
        <v>0</v>
      </c>
    </row>
    <row r="818" spans="2:47" ht="12.75">
      <c r="B818" s="33" t="s">
        <v>1480</v>
      </c>
      <c r="C818" s="5" t="s">
        <v>1476</v>
      </c>
      <c r="D818" s="10"/>
      <c r="E818" s="180"/>
      <c r="F818" s="181"/>
      <c r="G818" s="10">
        <v>0.004</v>
      </c>
      <c r="H818" s="91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5"/>
      <c r="V818" s="36"/>
      <c r="W818" s="36"/>
      <c r="X818" s="36"/>
      <c r="Y818" s="36"/>
      <c r="Z818" s="36"/>
      <c r="AA818" s="36"/>
      <c r="AB818" s="37"/>
      <c r="AC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>
        <f t="shared" si="162"/>
        <v>0</v>
      </c>
    </row>
    <row r="819" spans="2:47" ht="12.75">
      <c r="B819" s="33" t="s">
        <v>1481</v>
      </c>
      <c r="C819" s="5" t="s">
        <v>1477</v>
      </c>
      <c r="D819" s="10"/>
      <c r="E819" s="180"/>
      <c r="F819" s="181"/>
      <c r="G819" s="10">
        <v>0.005</v>
      </c>
      <c r="H819" s="91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5"/>
      <c r="V819" s="36"/>
      <c r="W819" s="36"/>
      <c r="X819" s="36"/>
      <c r="Y819" s="36"/>
      <c r="Z819" s="36"/>
      <c r="AA819" s="36"/>
      <c r="AB819" s="37"/>
      <c r="AC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>
        <f t="shared" si="162"/>
        <v>0</v>
      </c>
    </row>
    <row r="820" spans="3:47" ht="12.75">
      <c r="C820" s="103" t="s">
        <v>1478</v>
      </c>
      <c r="D820" s="10"/>
      <c r="E820" s="180"/>
      <c r="F820" s="181"/>
      <c r="G820" s="10"/>
      <c r="H820" s="91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5"/>
      <c r="V820" s="36"/>
      <c r="W820" s="36"/>
      <c r="X820" s="36"/>
      <c r="Y820" s="36"/>
      <c r="Z820" s="36"/>
      <c r="AA820" s="36"/>
      <c r="AB820" s="37"/>
      <c r="AC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>
        <f t="shared" si="162"/>
        <v>0</v>
      </c>
    </row>
    <row r="821" spans="2:47" ht="12.75">
      <c r="B821" s="33" t="s">
        <v>428</v>
      </c>
      <c r="C821" s="5" t="s">
        <v>429</v>
      </c>
      <c r="D821" s="10"/>
      <c r="E821" s="180"/>
      <c r="F821" s="181"/>
      <c r="G821" s="10">
        <v>0.001</v>
      </c>
      <c r="H821" s="91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5">
        <f>SUM(H821:N821)</f>
        <v>0</v>
      </c>
      <c r="V821" s="36"/>
      <c r="W821" s="36"/>
      <c r="X821" s="36"/>
      <c r="Y821" s="36"/>
      <c r="Z821" s="36"/>
      <c r="AA821" s="36"/>
      <c r="AB821" s="37"/>
      <c r="AC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>
        <f t="shared" si="162"/>
        <v>0</v>
      </c>
    </row>
    <row r="822" spans="3:47" ht="12.75">
      <c r="C822" s="5" t="s">
        <v>1378</v>
      </c>
      <c r="D822" s="10">
        <v>0.195</v>
      </c>
      <c r="E822" s="180">
        <v>38231</v>
      </c>
      <c r="F822" s="181">
        <v>38412</v>
      </c>
      <c r="G822" s="10"/>
      <c r="H822" s="91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0.027857142857142858</v>
      </c>
      <c r="N822" s="13">
        <v>0.027857142857142858</v>
      </c>
      <c r="O822" s="13">
        <v>0.027857142857142858</v>
      </c>
      <c r="P822" s="13">
        <v>0.027857142857142858</v>
      </c>
      <c r="Q822" s="13">
        <v>0.027857142857142858</v>
      </c>
      <c r="R822" s="13">
        <v>0.027857142857142858</v>
      </c>
      <c r="S822" s="13">
        <v>0.027857142857142858</v>
      </c>
      <c r="T822" s="5">
        <f>SUM(H822:N822)</f>
        <v>0.055714285714285716</v>
      </c>
      <c r="V822" s="36"/>
      <c r="W822" s="36"/>
      <c r="X822" s="36"/>
      <c r="Y822" s="36"/>
      <c r="Z822" s="36"/>
      <c r="AA822" s="36">
        <f>SUM(AE822:AT822)</f>
        <v>0.195</v>
      </c>
      <c r="AB822" s="37"/>
      <c r="AC822" s="37">
        <f>SUM(V822:AB822)</f>
        <v>0.195</v>
      </c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>
        <v>0.195</v>
      </c>
      <c r="AP822" s="37"/>
      <c r="AQ822" s="37"/>
      <c r="AR822" s="37"/>
      <c r="AS822" s="37"/>
      <c r="AT822" s="37"/>
      <c r="AU822" s="37">
        <f t="shared" si="162"/>
        <v>0.195</v>
      </c>
    </row>
    <row r="823" spans="3:48" ht="12.75">
      <c r="C823" s="5" t="s">
        <v>1438</v>
      </c>
      <c r="D823" s="10">
        <v>0.425</v>
      </c>
      <c r="E823" s="180">
        <v>38231</v>
      </c>
      <c r="F823" s="181">
        <v>38412</v>
      </c>
      <c r="G823" s="10"/>
      <c r="H823" s="91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0.060714285714285714</v>
      </c>
      <c r="N823" s="13">
        <v>0.060714285714285714</v>
      </c>
      <c r="O823" s="13">
        <v>0.060714285714285714</v>
      </c>
      <c r="P823" s="13">
        <v>0.060714285714285714</v>
      </c>
      <c r="Q823" s="13">
        <v>0.060714285714285714</v>
      </c>
      <c r="R823" s="13">
        <v>0.060714285714285714</v>
      </c>
      <c r="S823" s="13">
        <v>0.060714285714285714</v>
      </c>
      <c r="T823" s="5">
        <f>SUM(H823:N823)</f>
        <v>0.12142857142857143</v>
      </c>
      <c r="V823" s="36"/>
      <c r="W823" s="36"/>
      <c r="X823" s="36"/>
      <c r="Y823" s="36"/>
      <c r="Z823" s="36"/>
      <c r="AA823" s="36">
        <f>SUM(AE823:AT823)</f>
        <v>0.42500000000000004</v>
      </c>
      <c r="AB823" s="37"/>
      <c r="AC823" s="37">
        <f>SUM(V823:AB823)</f>
        <v>0.42500000000000004</v>
      </c>
      <c r="AE823" s="37"/>
      <c r="AF823" s="37"/>
      <c r="AG823" s="37"/>
      <c r="AH823" s="37"/>
      <c r="AI823" s="37"/>
      <c r="AJ823" s="37"/>
      <c r="AK823" s="37"/>
      <c r="AL823" s="37"/>
      <c r="AM823" s="37"/>
      <c r="AN823" s="37">
        <v>0.225</v>
      </c>
      <c r="AO823" s="37"/>
      <c r="AP823" s="37"/>
      <c r="AQ823" s="37"/>
      <c r="AR823" s="37"/>
      <c r="AS823" s="37"/>
      <c r="AT823" s="37">
        <v>0.2</v>
      </c>
      <c r="AU823" s="37">
        <f t="shared" si="162"/>
        <v>0.42500000000000004</v>
      </c>
      <c r="AV823" s="33" t="s">
        <v>1447</v>
      </c>
    </row>
    <row r="824" spans="3:47" ht="12.75">
      <c r="C824" s="5" t="s">
        <v>1439</v>
      </c>
      <c r="D824" s="10">
        <v>0.03</v>
      </c>
      <c r="E824" s="180">
        <v>38231</v>
      </c>
      <c r="F824" s="181">
        <v>38412</v>
      </c>
      <c r="G824" s="10"/>
      <c r="H824" s="91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0.004285714285714286</v>
      </c>
      <c r="N824" s="13">
        <v>0.004285714285714286</v>
      </c>
      <c r="O824" s="13">
        <v>0.004285714285714286</v>
      </c>
      <c r="P824" s="13">
        <v>0.004285714285714286</v>
      </c>
      <c r="Q824" s="13">
        <v>0.004285714285714286</v>
      </c>
      <c r="R824" s="13">
        <v>0.004285714285714286</v>
      </c>
      <c r="S824" s="13">
        <v>0.004285714285714286</v>
      </c>
      <c r="T824" s="5">
        <f>SUM(H824:N824)</f>
        <v>0.008571428571428572</v>
      </c>
      <c r="V824" s="36"/>
      <c r="W824" s="36"/>
      <c r="X824" s="36"/>
      <c r="Y824" s="36"/>
      <c r="Z824" s="36"/>
      <c r="AA824" s="36">
        <f>SUM(AE824:AT824)</f>
        <v>0.03</v>
      </c>
      <c r="AB824" s="37"/>
      <c r="AC824" s="37">
        <f>SUM(V824:AB824)</f>
        <v>0.03</v>
      </c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>
        <v>0.03</v>
      </c>
      <c r="AP824" s="37"/>
      <c r="AQ824" s="37"/>
      <c r="AR824" s="37"/>
      <c r="AS824" s="37"/>
      <c r="AT824" s="37"/>
      <c r="AU824" s="37">
        <f t="shared" si="162"/>
        <v>0.03</v>
      </c>
    </row>
    <row r="825" spans="3:47" ht="13.5" thickBot="1">
      <c r="C825" s="5" t="s">
        <v>1440</v>
      </c>
      <c r="D825" s="10">
        <v>0.124</v>
      </c>
      <c r="E825" s="180">
        <v>38231</v>
      </c>
      <c r="F825" s="181">
        <v>38412</v>
      </c>
      <c r="G825" s="10"/>
      <c r="H825" s="91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0.017714285714285714</v>
      </c>
      <c r="N825" s="13">
        <v>0.017714285714285714</v>
      </c>
      <c r="O825" s="13">
        <v>0.017714285714285714</v>
      </c>
      <c r="P825" s="13">
        <v>0.017714285714285714</v>
      </c>
      <c r="Q825" s="13">
        <v>0.017714285714285714</v>
      </c>
      <c r="R825" s="13">
        <v>0.017714285714285714</v>
      </c>
      <c r="S825" s="13">
        <v>0.017714285714285714</v>
      </c>
      <c r="T825" s="5">
        <f>SUM(H825:N825)</f>
        <v>0.03542857142857143</v>
      </c>
      <c r="V825" s="36"/>
      <c r="W825" s="36"/>
      <c r="X825" s="36"/>
      <c r="Y825" s="36"/>
      <c r="Z825" s="36"/>
      <c r="AA825" s="36">
        <f>SUM(AE825:AT825)</f>
        <v>0.124</v>
      </c>
      <c r="AB825" s="37"/>
      <c r="AC825" s="37">
        <f>SUM(V825:AB825)</f>
        <v>0.124</v>
      </c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>
        <v>0.124</v>
      </c>
      <c r="AP825" s="37"/>
      <c r="AQ825" s="37"/>
      <c r="AR825" s="37"/>
      <c r="AS825" s="37"/>
      <c r="AT825" s="37"/>
      <c r="AU825" s="37">
        <f t="shared" si="162"/>
        <v>0.124</v>
      </c>
    </row>
    <row r="826" spans="3:47" ht="13.5" thickBot="1">
      <c r="C826" s="8" t="s">
        <v>1441</v>
      </c>
      <c r="D826" s="25">
        <f>SUM(D792:D825)</f>
        <v>2.6529999999999996</v>
      </c>
      <c r="E826" s="240"/>
      <c r="F826" s="176"/>
      <c r="G826" s="25">
        <f aca="true" t="shared" si="166" ref="G826:T826">SUM(G792:G825)</f>
        <v>0.42000000000000004</v>
      </c>
      <c r="H826" s="241">
        <f t="shared" si="166"/>
        <v>0.092</v>
      </c>
      <c r="I826" s="242">
        <f t="shared" si="166"/>
        <v>0</v>
      </c>
      <c r="J826" s="242">
        <f t="shared" si="166"/>
        <v>0</v>
      </c>
      <c r="K826" s="242">
        <f t="shared" si="166"/>
        <v>0</v>
      </c>
      <c r="L826" s="242">
        <f t="shared" si="166"/>
        <v>0</v>
      </c>
      <c r="M826" s="242">
        <f t="shared" si="166"/>
        <v>0.28785714285714287</v>
      </c>
      <c r="N826" s="242">
        <f t="shared" si="166"/>
        <v>0.28785714285714287</v>
      </c>
      <c r="O826" s="242">
        <f t="shared" si="166"/>
        <v>0.28785714285714287</v>
      </c>
      <c r="P826" s="242">
        <f t="shared" si="166"/>
        <v>0.28785714285714287</v>
      </c>
      <c r="Q826" s="242">
        <f t="shared" si="166"/>
        <v>0.28785714285714287</v>
      </c>
      <c r="R826" s="242">
        <f t="shared" si="166"/>
        <v>0.28785714285714287</v>
      </c>
      <c r="S826" s="242">
        <f t="shared" si="166"/>
        <v>0.28785714285714287</v>
      </c>
      <c r="T826" s="25">
        <f t="shared" si="166"/>
        <v>0.6677142857142857</v>
      </c>
      <c r="V826" s="30">
        <f aca="true" t="shared" si="167" ref="V826:AC826">SUM(V792:V825)</f>
        <v>0.05</v>
      </c>
      <c r="W826" s="30">
        <f t="shared" si="167"/>
        <v>0</v>
      </c>
      <c r="X826" s="30">
        <f t="shared" si="167"/>
        <v>0</v>
      </c>
      <c r="Y826" s="30">
        <f t="shared" si="167"/>
        <v>0</v>
      </c>
      <c r="Z826" s="30">
        <f t="shared" si="167"/>
        <v>0.089</v>
      </c>
      <c r="AA826" s="30">
        <f t="shared" si="167"/>
        <v>2.2939999999999996</v>
      </c>
      <c r="AB826" s="30">
        <f t="shared" si="167"/>
        <v>0.22</v>
      </c>
      <c r="AC826" s="30">
        <f t="shared" si="167"/>
        <v>2.6529999999999996</v>
      </c>
      <c r="AE826" s="30">
        <f aca="true" t="shared" si="168" ref="AE826:AU826">SUM(AE792:AE825)</f>
        <v>0</v>
      </c>
      <c r="AF826" s="30">
        <f t="shared" si="168"/>
        <v>0.059</v>
      </c>
      <c r="AG826" s="30">
        <f t="shared" si="168"/>
        <v>0</v>
      </c>
      <c r="AH826" s="30">
        <f t="shared" si="168"/>
        <v>0</v>
      </c>
      <c r="AI826" s="30">
        <f t="shared" si="168"/>
        <v>0</v>
      </c>
      <c r="AJ826" s="30">
        <f t="shared" si="168"/>
        <v>0</v>
      </c>
      <c r="AK826" s="30">
        <f t="shared" si="168"/>
        <v>0</v>
      </c>
      <c r="AL826" s="30">
        <f t="shared" si="168"/>
        <v>0</v>
      </c>
      <c r="AM826" s="30">
        <f t="shared" si="168"/>
        <v>0</v>
      </c>
      <c r="AN826" s="30">
        <f t="shared" si="168"/>
        <v>0.575</v>
      </c>
      <c r="AO826" s="30">
        <f t="shared" si="168"/>
        <v>1.193</v>
      </c>
      <c r="AP826" s="30">
        <f t="shared" si="168"/>
        <v>0</v>
      </c>
      <c r="AQ826" s="30">
        <f t="shared" si="168"/>
        <v>0.122</v>
      </c>
      <c r="AR826" s="30">
        <f t="shared" si="168"/>
        <v>0</v>
      </c>
      <c r="AS826" s="30">
        <f t="shared" si="168"/>
        <v>0</v>
      </c>
      <c r="AT826" s="30">
        <f t="shared" si="168"/>
        <v>0.34500000000000003</v>
      </c>
      <c r="AU826" s="30">
        <f t="shared" si="168"/>
        <v>2.068</v>
      </c>
    </row>
    <row r="827" spans="3:47" ht="12.75">
      <c r="C827" s="5"/>
      <c r="D827" s="5"/>
      <c r="E827" s="24"/>
      <c r="F827" s="170"/>
      <c r="G827" s="10"/>
      <c r="H827" s="91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95"/>
      <c r="T827" s="87"/>
      <c r="V827" s="36"/>
      <c r="W827" s="36"/>
      <c r="X827" s="36"/>
      <c r="Y827" s="36"/>
      <c r="Z827" s="36"/>
      <c r="AA827" s="36"/>
      <c r="AB827" s="37"/>
      <c r="AC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</row>
    <row r="828" spans="3:47" ht="12.75">
      <c r="C828" s="8" t="s">
        <v>1347</v>
      </c>
      <c r="D828" s="5"/>
      <c r="E828" s="24"/>
      <c r="F828" s="170"/>
      <c r="G828" s="10"/>
      <c r="H828" s="91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95"/>
      <c r="T828" s="87"/>
      <c r="V828" s="36"/>
      <c r="W828" s="36"/>
      <c r="X828" s="36"/>
      <c r="Y828" s="36"/>
      <c r="Z828" s="36"/>
      <c r="AA828" s="36"/>
      <c r="AB828" s="37"/>
      <c r="AC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</row>
    <row r="829" spans="1:48" ht="12.75">
      <c r="A829" s="33" t="s">
        <v>239</v>
      </c>
      <c r="C829" s="5" t="s">
        <v>1442</v>
      </c>
      <c r="D829" s="10">
        <v>0.1</v>
      </c>
      <c r="E829" s="180">
        <v>38231</v>
      </c>
      <c r="F829" s="181">
        <v>38412</v>
      </c>
      <c r="G829" s="10"/>
      <c r="H829" s="91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f>$D829/7</f>
        <v>0.014285714285714287</v>
      </c>
      <c r="N829" s="13">
        <f aca="true" t="shared" si="169" ref="N829:S830">$D829/7</f>
        <v>0.014285714285714287</v>
      </c>
      <c r="O829" s="13">
        <f t="shared" si="169"/>
        <v>0.014285714285714287</v>
      </c>
      <c r="P829" s="13">
        <f t="shared" si="169"/>
        <v>0.014285714285714287</v>
      </c>
      <c r="Q829" s="13">
        <f t="shared" si="169"/>
        <v>0.014285714285714287</v>
      </c>
      <c r="R829" s="13">
        <f t="shared" si="169"/>
        <v>0.014285714285714287</v>
      </c>
      <c r="S829" s="13">
        <f t="shared" si="169"/>
        <v>0.014285714285714287</v>
      </c>
      <c r="T829" s="5">
        <f>SUM(H829:N829)</f>
        <v>0.028571428571428574</v>
      </c>
      <c r="V829" s="36"/>
      <c r="W829" s="36"/>
      <c r="X829" s="36"/>
      <c r="Y829" s="36"/>
      <c r="Z829" s="36">
        <f>0.1-0.1</f>
        <v>0</v>
      </c>
      <c r="AA829" s="36">
        <f>SUM(AE829:AT829)</f>
        <v>0.1</v>
      </c>
      <c r="AB829" s="37"/>
      <c r="AC829" s="37">
        <f>SUM(V829:AB829)</f>
        <v>0.1</v>
      </c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>
        <v>0.1</v>
      </c>
      <c r="AU829" s="37">
        <f aca="true" t="shared" si="170" ref="AU829:AU900">SUM(AE829:AT829)</f>
        <v>0.1</v>
      </c>
      <c r="AV829" s="33" t="s">
        <v>655</v>
      </c>
    </row>
    <row r="830" spans="1:47" ht="12.75">
      <c r="A830" s="33" t="s">
        <v>1176</v>
      </c>
      <c r="C830" s="5" t="s">
        <v>1443</v>
      </c>
      <c r="D830" s="10">
        <v>0.04</v>
      </c>
      <c r="E830" s="180">
        <v>38231</v>
      </c>
      <c r="F830" s="181">
        <v>38412</v>
      </c>
      <c r="G830" s="10"/>
      <c r="H830" s="91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f>$D830/7</f>
        <v>0.005714285714285714</v>
      </c>
      <c r="N830" s="13">
        <f t="shared" si="169"/>
        <v>0.005714285714285714</v>
      </c>
      <c r="O830" s="13">
        <f t="shared" si="169"/>
        <v>0.005714285714285714</v>
      </c>
      <c r="P830" s="13">
        <f t="shared" si="169"/>
        <v>0.005714285714285714</v>
      </c>
      <c r="Q830" s="13">
        <f t="shared" si="169"/>
        <v>0.005714285714285714</v>
      </c>
      <c r="R830" s="13">
        <f t="shared" si="169"/>
        <v>0.005714285714285714</v>
      </c>
      <c r="S830" s="13">
        <f t="shared" si="169"/>
        <v>0.005714285714285714</v>
      </c>
      <c r="T830" s="5">
        <f>SUM(H830:N830)</f>
        <v>0.011428571428571429</v>
      </c>
      <c r="V830" s="36"/>
      <c r="W830" s="36"/>
      <c r="X830" s="36"/>
      <c r="Y830" s="36"/>
      <c r="Z830" s="36">
        <v>0.04</v>
      </c>
      <c r="AA830" s="36">
        <f>SUM(AE830:AT830)</f>
        <v>0</v>
      </c>
      <c r="AB830" s="37"/>
      <c r="AC830" s="37">
        <f>SUM(V830:AB830)</f>
        <v>0.04</v>
      </c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>
        <f t="shared" si="170"/>
        <v>0</v>
      </c>
    </row>
    <row r="831" spans="2:47" ht="12.75">
      <c r="B831" s="27" t="s">
        <v>1723</v>
      </c>
      <c r="C831" s="84" t="s">
        <v>1724</v>
      </c>
      <c r="D831" s="26"/>
      <c r="E831" s="171"/>
      <c r="F831" s="171"/>
      <c r="G831" s="26">
        <v>0</v>
      </c>
      <c r="H831" s="91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95"/>
      <c r="T831" s="94"/>
      <c r="V831" s="36"/>
      <c r="W831" s="36"/>
      <c r="X831" s="36"/>
      <c r="Y831" s="36"/>
      <c r="Z831" s="36"/>
      <c r="AA831" s="36">
        <f aca="true" t="shared" si="171" ref="AA831:AA912">SUM(AE831:AT831)</f>
        <v>0</v>
      </c>
      <c r="AB831" s="37"/>
      <c r="AC831" s="37">
        <f aca="true" t="shared" si="172" ref="AC831:AC912">SUM(V831:AB831)</f>
        <v>0</v>
      </c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>
        <f t="shared" si="170"/>
        <v>0</v>
      </c>
    </row>
    <row r="832" spans="2:47" ht="12.75">
      <c r="B832" s="27"/>
      <c r="C832" s="152" t="s">
        <v>462</v>
      </c>
      <c r="D832" s="26"/>
      <c r="E832" s="171"/>
      <c r="F832" s="171"/>
      <c r="G832" s="26"/>
      <c r="H832" s="91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95"/>
      <c r="T832" s="94"/>
      <c r="V832" s="36"/>
      <c r="W832" s="36"/>
      <c r="X832" s="36"/>
      <c r="Y832" s="36"/>
      <c r="Z832" s="36"/>
      <c r="AA832" s="36">
        <f t="shared" si="171"/>
        <v>0</v>
      </c>
      <c r="AB832" s="37"/>
      <c r="AC832" s="37">
        <f t="shared" si="172"/>
        <v>0</v>
      </c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>
        <f t="shared" si="170"/>
        <v>0</v>
      </c>
    </row>
    <row r="833" spans="2:47" ht="12.75">
      <c r="B833" s="27" t="s">
        <v>866</v>
      </c>
      <c r="C833" s="84" t="s">
        <v>865</v>
      </c>
      <c r="D833" s="26"/>
      <c r="E833" s="171"/>
      <c r="F833" s="171"/>
      <c r="G833" s="26">
        <v>0.003</v>
      </c>
      <c r="H833" s="91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95"/>
      <c r="T833" s="94"/>
      <c r="V833" s="36"/>
      <c r="W833" s="36"/>
      <c r="X833" s="36"/>
      <c r="Y833" s="36"/>
      <c r="Z833" s="36"/>
      <c r="AA833" s="36">
        <f>SUM(AE833:AT833)</f>
        <v>0</v>
      </c>
      <c r="AB833" s="37"/>
      <c r="AC833" s="37">
        <f>SUM(V833:AB833)</f>
        <v>0</v>
      </c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</row>
    <row r="834" spans="2:47" ht="12.75">
      <c r="B834" s="27"/>
      <c r="C834" s="84" t="s">
        <v>171</v>
      </c>
      <c r="D834" s="26"/>
      <c r="E834" s="171"/>
      <c r="F834" s="171"/>
      <c r="G834" s="26"/>
      <c r="H834" s="91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95"/>
      <c r="T834" s="94"/>
      <c r="V834" s="36"/>
      <c r="W834" s="36"/>
      <c r="X834" s="36"/>
      <c r="Y834" s="36"/>
      <c r="Z834" s="36"/>
      <c r="AA834" s="36">
        <f>SUM(AE834:AT834)</f>
        <v>0</v>
      </c>
      <c r="AB834" s="37"/>
      <c r="AC834" s="37">
        <f>SUM(V834:AB834)</f>
        <v>0</v>
      </c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</row>
    <row r="835" spans="2:47" ht="12.75">
      <c r="B835" s="27" t="s">
        <v>1725</v>
      </c>
      <c r="C835" s="84" t="s">
        <v>1726</v>
      </c>
      <c r="D835" s="26"/>
      <c r="E835" s="171"/>
      <c r="F835" s="171"/>
      <c r="G835" s="26">
        <v>0</v>
      </c>
      <c r="H835" s="91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95"/>
      <c r="T835" s="94"/>
      <c r="V835" s="36"/>
      <c r="W835" s="36"/>
      <c r="X835" s="36"/>
      <c r="Y835" s="36"/>
      <c r="Z835" s="36"/>
      <c r="AA835" s="36">
        <f t="shared" si="171"/>
        <v>0</v>
      </c>
      <c r="AB835" s="37"/>
      <c r="AC835" s="37">
        <f t="shared" si="172"/>
        <v>0</v>
      </c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>
        <f t="shared" si="170"/>
        <v>0</v>
      </c>
    </row>
    <row r="836" spans="2:47" ht="12.75">
      <c r="B836" s="27"/>
      <c r="C836" s="152" t="s">
        <v>463</v>
      </c>
      <c r="D836" s="26"/>
      <c r="E836" s="171"/>
      <c r="F836" s="171"/>
      <c r="G836" s="26"/>
      <c r="H836" s="91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95"/>
      <c r="T836" s="94"/>
      <c r="V836" s="36"/>
      <c r="W836" s="36"/>
      <c r="X836" s="36"/>
      <c r="Y836" s="36"/>
      <c r="Z836" s="36"/>
      <c r="AA836" s="36">
        <f t="shared" si="171"/>
        <v>0</v>
      </c>
      <c r="AB836" s="37"/>
      <c r="AC836" s="37">
        <f t="shared" si="172"/>
        <v>0</v>
      </c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>
        <f t="shared" si="170"/>
        <v>0</v>
      </c>
    </row>
    <row r="837" spans="2:47" ht="12.75">
      <c r="B837" s="27" t="s">
        <v>0</v>
      </c>
      <c r="C837" s="84" t="s">
        <v>1</v>
      </c>
      <c r="D837" s="26"/>
      <c r="E837" s="171"/>
      <c r="F837" s="171"/>
      <c r="G837" s="26">
        <v>0</v>
      </c>
      <c r="H837" s="91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95"/>
      <c r="T837" s="94"/>
      <c r="V837" s="36"/>
      <c r="W837" s="36"/>
      <c r="X837" s="36"/>
      <c r="Y837" s="36"/>
      <c r="Z837" s="36"/>
      <c r="AA837" s="36">
        <f t="shared" si="171"/>
        <v>0</v>
      </c>
      <c r="AB837" s="37"/>
      <c r="AC837" s="37">
        <f t="shared" si="172"/>
        <v>0</v>
      </c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>
        <f t="shared" si="170"/>
        <v>0</v>
      </c>
    </row>
    <row r="838" spans="2:47" ht="12.75">
      <c r="B838" s="27"/>
      <c r="C838" s="152" t="s">
        <v>1</v>
      </c>
      <c r="D838" s="26"/>
      <c r="E838" s="171"/>
      <c r="F838" s="171"/>
      <c r="G838" s="26"/>
      <c r="H838" s="91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95"/>
      <c r="T838" s="94"/>
      <c r="V838" s="36"/>
      <c r="W838" s="36"/>
      <c r="X838" s="36"/>
      <c r="Y838" s="36"/>
      <c r="Z838" s="36"/>
      <c r="AA838" s="36">
        <f t="shared" si="171"/>
        <v>0</v>
      </c>
      <c r="AB838" s="37"/>
      <c r="AC838" s="37">
        <f t="shared" si="172"/>
        <v>0</v>
      </c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>
        <f t="shared" si="170"/>
        <v>0</v>
      </c>
    </row>
    <row r="839" spans="2:47" ht="12.75">
      <c r="B839" s="27" t="s">
        <v>2</v>
      </c>
      <c r="C839" s="84" t="s">
        <v>3</v>
      </c>
      <c r="D839" s="26"/>
      <c r="E839" s="171"/>
      <c r="F839" s="171"/>
      <c r="G839" s="26">
        <v>0</v>
      </c>
      <c r="H839" s="91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95"/>
      <c r="T839" s="94"/>
      <c r="V839" s="36"/>
      <c r="W839" s="36"/>
      <c r="X839" s="36"/>
      <c r="Y839" s="36"/>
      <c r="Z839" s="36"/>
      <c r="AA839" s="36">
        <f t="shared" si="171"/>
        <v>0</v>
      </c>
      <c r="AB839" s="37"/>
      <c r="AC839" s="37">
        <f t="shared" si="172"/>
        <v>0</v>
      </c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>
        <f t="shared" si="170"/>
        <v>0</v>
      </c>
    </row>
    <row r="840" spans="2:47" ht="12.75">
      <c r="B840" s="27"/>
      <c r="C840" s="152" t="s">
        <v>3</v>
      </c>
      <c r="D840" s="26"/>
      <c r="E840" s="171"/>
      <c r="F840" s="171"/>
      <c r="G840" s="26"/>
      <c r="H840" s="91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95"/>
      <c r="T840" s="94"/>
      <c r="V840" s="36"/>
      <c r="W840" s="36"/>
      <c r="X840" s="36"/>
      <c r="Y840" s="36"/>
      <c r="Z840" s="36"/>
      <c r="AA840" s="36">
        <f t="shared" si="171"/>
        <v>0</v>
      </c>
      <c r="AB840" s="37"/>
      <c r="AC840" s="37">
        <f t="shared" si="172"/>
        <v>0</v>
      </c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>
        <f t="shared" si="170"/>
        <v>0</v>
      </c>
    </row>
    <row r="841" spans="2:47" ht="12.75">
      <c r="B841" s="27"/>
      <c r="C841" s="152" t="s">
        <v>171</v>
      </c>
      <c r="D841" s="26">
        <f>0.629-0.04</f>
        <v>0.589</v>
      </c>
      <c r="E841" s="180">
        <v>38231</v>
      </c>
      <c r="F841" s="181">
        <v>38412</v>
      </c>
      <c r="G841" s="26"/>
      <c r="H841" s="91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f>$D841/7</f>
        <v>0.08414285714285714</v>
      </c>
      <c r="N841" s="13">
        <f aca="true" t="shared" si="173" ref="N841:S841">$D841/7</f>
        <v>0.08414285714285714</v>
      </c>
      <c r="O841" s="13">
        <f t="shared" si="173"/>
        <v>0.08414285714285714</v>
      </c>
      <c r="P841" s="13">
        <f t="shared" si="173"/>
        <v>0.08414285714285714</v>
      </c>
      <c r="Q841" s="13">
        <f t="shared" si="173"/>
        <v>0.08414285714285714</v>
      </c>
      <c r="R841" s="13">
        <f t="shared" si="173"/>
        <v>0.08414285714285714</v>
      </c>
      <c r="S841" s="13">
        <f t="shared" si="173"/>
        <v>0.08414285714285714</v>
      </c>
      <c r="T841" s="5">
        <f>SUM(H841:N841)</f>
        <v>0.1682857142857143</v>
      </c>
      <c r="V841" s="36"/>
      <c r="W841" s="36"/>
      <c r="X841" s="36"/>
      <c r="Y841" s="36"/>
      <c r="Z841" s="36">
        <f>0.629-0.04</f>
        <v>0.589</v>
      </c>
      <c r="AA841" s="36">
        <f t="shared" si="171"/>
        <v>0</v>
      </c>
      <c r="AB841" s="37"/>
      <c r="AC841" s="37">
        <f t="shared" si="172"/>
        <v>0.589</v>
      </c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>
        <f t="shared" si="170"/>
        <v>0</v>
      </c>
    </row>
    <row r="842" spans="2:47" ht="12.75">
      <c r="B842" s="27" t="s">
        <v>4</v>
      </c>
      <c r="C842" s="84" t="s">
        <v>5</v>
      </c>
      <c r="D842" s="26"/>
      <c r="E842" s="171"/>
      <c r="F842" s="171"/>
      <c r="G842" s="26">
        <v>0.009</v>
      </c>
      <c r="H842" s="91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95"/>
      <c r="T842" s="94"/>
      <c r="V842" s="36"/>
      <c r="W842" s="36"/>
      <c r="X842" s="36"/>
      <c r="Y842" s="36"/>
      <c r="Z842" s="36"/>
      <c r="AA842" s="36">
        <f t="shared" si="171"/>
        <v>0</v>
      </c>
      <c r="AB842" s="37"/>
      <c r="AC842" s="37">
        <f t="shared" si="172"/>
        <v>0</v>
      </c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>
        <f t="shared" si="170"/>
        <v>0</v>
      </c>
    </row>
    <row r="843" spans="2:47" ht="12.75">
      <c r="B843" s="27" t="s">
        <v>6</v>
      </c>
      <c r="C843" s="84" t="s">
        <v>7</v>
      </c>
      <c r="D843" s="26"/>
      <c r="E843" s="171"/>
      <c r="F843" s="171"/>
      <c r="G843" s="26">
        <v>0.002</v>
      </c>
      <c r="H843" s="91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95"/>
      <c r="T843" s="94"/>
      <c r="V843" s="36"/>
      <c r="W843" s="36"/>
      <c r="X843" s="36"/>
      <c r="Y843" s="36"/>
      <c r="Z843" s="36"/>
      <c r="AA843" s="36">
        <f t="shared" si="171"/>
        <v>0</v>
      </c>
      <c r="AB843" s="37"/>
      <c r="AC843" s="37">
        <f t="shared" si="172"/>
        <v>0</v>
      </c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>
        <f t="shared" si="170"/>
        <v>0</v>
      </c>
    </row>
    <row r="844" spans="2:47" ht="12.75">
      <c r="B844" s="27"/>
      <c r="C844" s="152" t="s">
        <v>172</v>
      </c>
      <c r="D844" s="33">
        <f>-0.04+0.04</f>
        <v>0</v>
      </c>
      <c r="E844" s="171"/>
      <c r="F844" s="171"/>
      <c r="G844" s="26">
        <f>SUM(G842:G843)</f>
        <v>0.011</v>
      </c>
      <c r="H844" s="91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95"/>
      <c r="T844" s="94"/>
      <c r="V844" s="36"/>
      <c r="W844" s="36"/>
      <c r="X844" s="36"/>
      <c r="Y844" s="36"/>
      <c r="Z844" s="33"/>
      <c r="AA844" s="36">
        <f t="shared" si="171"/>
        <v>0</v>
      </c>
      <c r="AB844" s="37"/>
      <c r="AC844" s="37">
        <f t="shared" si="172"/>
        <v>0</v>
      </c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>
        <f t="shared" si="170"/>
        <v>0</v>
      </c>
    </row>
    <row r="845" spans="2:48" ht="12.75">
      <c r="B845" s="254" t="s">
        <v>1560</v>
      </c>
      <c r="C845" s="84" t="s">
        <v>1448</v>
      </c>
      <c r="D845" s="33">
        <v>0.07</v>
      </c>
      <c r="E845" s="173">
        <v>38353</v>
      </c>
      <c r="F845" s="173">
        <v>38412</v>
      </c>
      <c r="G845" s="26"/>
      <c r="H845" s="91"/>
      <c r="I845" s="13"/>
      <c r="J845" s="13"/>
      <c r="K845" s="13"/>
      <c r="L845" s="13"/>
      <c r="M845" s="13"/>
      <c r="N845" s="13"/>
      <c r="O845" s="13"/>
      <c r="P845" s="13"/>
      <c r="Q845" s="13">
        <v>0.01</v>
      </c>
      <c r="R845" s="13">
        <v>0.05</v>
      </c>
      <c r="S845" s="95">
        <v>0.01</v>
      </c>
      <c r="T845" s="5">
        <f>SUM(H845:N845)</f>
        <v>0</v>
      </c>
      <c r="V845" s="36"/>
      <c r="W845" s="36"/>
      <c r="X845" s="36"/>
      <c r="Y845" s="36"/>
      <c r="Z845" s="33">
        <v>0.038</v>
      </c>
      <c r="AA845" s="36">
        <f t="shared" si="171"/>
        <v>0.02</v>
      </c>
      <c r="AB845" s="37">
        <v>0.012</v>
      </c>
      <c r="AC845" s="37">
        <f t="shared" si="172"/>
        <v>0.06999999999999999</v>
      </c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>
        <v>0.02</v>
      </c>
      <c r="AS845" s="37"/>
      <c r="AT845" s="37"/>
      <c r="AU845" s="37">
        <f t="shared" si="170"/>
        <v>0.02</v>
      </c>
      <c r="AV845" s="33" t="s">
        <v>1561</v>
      </c>
    </row>
    <row r="846" spans="2:47" ht="12.75">
      <c r="B846" s="27" t="s">
        <v>1715</v>
      </c>
      <c r="C846" s="84" t="s">
        <v>8</v>
      </c>
      <c r="D846" s="26"/>
      <c r="E846" s="171"/>
      <c r="F846" s="171"/>
      <c r="G846" s="26">
        <v>0.001</v>
      </c>
      <c r="H846" s="91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95"/>
      <c r="T846" s="94"/>
      <c r="V846" s="36"/>
      <c r="W846" s="36"/>
      <c r="X846" s="36"/>
      <c r="Y846" s="36"/>
      <c r="Z846" s="36"/>
      <c r="AA846" s="36">
        <f t="shared" si="171"/>
        <v>0</v>
      </c>
      <c r="AB846" s="37"/>
      <c r="AC846" s="37">
        <f t="shared" si="172"/>
        <v>0</v>
      </c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>
        <f t="shared" si="170"/>
        <v>0</v>
      </c>
    </row>
    <row r="847" spans="2:47" ht="12.75">
      <c r="B847" s="27" t="s">
        <v>123</v>
      </c>
      <c r="C847" s="84" t="s">
        <v>464</v>
      </c>
      <c r="D847" s="26"/>
      <c r="E847" s="171"/>
      <c r="F847" s="171"/>
      <c r="G847" s="26">
        <v>0.002</v>
      </c>
      <c r="H847" s="91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95"/>
      <c r="T847" s="94"/>
      <c r="V847" s="36"/>
      <c r="W847" s="36"/>
      <c r="X847" s="36"/>
      <c r="Y847" s="36"/>
      <c r="Z847" s="36"/>
      <c r="AA847" s="36">
        <f t="shared" si="171"/>
        <v>0</v>
      </c>
      <c r="AB847" s="37"/>
      <c r="AC847" s="37">
        <f t="shared" si="172"/>
        <v>0</v>
      </c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>
        <f t="shared" si="170"/>
        <v>0</v>
      </c>
    </row>
    <row r="848" spans="2:47" ht="12.75">
      <c r="B848" s="27" t="s">
        <v>1716</v>
      </c>
      <c r="C848" s="84" t="s">
        <v>9</v>
      </c>
      <c r="D848" s="26"/>
      <c r="E848" s="171"/>
      <c r="F848" s="171"/>
      <c r="G848" s="26">
        <v>0.009</v>
      </c>
      <c r="H848" s="91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95"/>
      <c r="T848" s="94"/>
      <c r="V848" s="36"/>
      <c r="W848" s="36"/>
      <c r="X848" s="36"/>
      <c r="Y848" s="36"/>
      <c r="Z848" s="36"/>
      <c r="AA848" s="36">
        <f t="shared" si="171"/>
        <v>0</v>
      </c>
      <c r="AB848" s="37"/>
      <c r="AC848" s="37">
        <f t="shared" si="172"/>
        <v>0</v>
      </c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>
        <f t="shared" si="170"/>
        <v>0</v>
      </c>
    </row>
    <row r="849" spans="2:47" ht="12.75">
      <c r="B849" s="27" t="s">
        <v>430</v>
      </c>
      <c r="C849" s="84" t="s">
        <v>431</v>
      </c>
      <c r="D849" s="26"/>
      <c r="E849" s="171"/>
      <c r="F849" s="171"/>
      <c r="G849" s="26">
        <v>0.009</v>
      </c>
      <c r="H849" s="91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95"/>
      <c r="T849" s="94"/>
      <c r="V849" s="36"/>
      <c r="W849" s="36"/>
      <c r="X849" s="36"/>
      <c r="Y849" s="36"/>
      <c r="Z849" s="36"/>
      <c r="AA849" s="36">
        <f>SUM(AE849:AT849)</f>
        <v>0</v>
      </c>
      <c r="AB849" s="37"/>
      <c r="AC849" s="37">
        <f>SUM(V849:AB849)</f>
        <v>0</v>
      </c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</row>
    <row r="850" spans="2:47" ht="12.75">
      <c r="B850" s="27"/>
      <c r="C850" s="152" t="s">
        <v>9</v>
      </c>
      <c r="D850" s="26"/>
      <c r="E850" s="171"/>
      <c r="F850" s="171"/>
      <c r="G850" s="26"/>
      <c r="H850" s="91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95"/>
      <c r="T850" s="94"/>
      <c r="V850" s="36"/>
      <c r="W850" s="36"/>
      <c r="X850" s="36"/>
      <c r="Y850" s="36"/>
      <c r="Z850" s="36"/>
      <c r="AA850" s="36">
        <f t="shared" si="171"/>
        <v>0</v>
      </c>
      <c r="AB850" s="37"/>
      <c r="AC850" s="37">
        <f t="shared" si="172"/>
        <v>0</v>
      </c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>
        <f t="shared" si="170"/>
        <v>0</v>
      </c>
    </row>
    <row r="851" spans="2:47" ht="12.75">
      <c r="B851" s="27"/>
      <c r="C851" s="152" t="s">
        <v>483</v>
      </c>
      <c r="D851" s="26">
        <f>0.5+0.039-0.025-0.038-0.05</f>
        <v>0.42600000000000005</v>
      </c>
      <c r="E851" s="180">
        <v>38231</v>
      </c>
      <c r="F851" s="181">
        <v>38412</v>
      </c>
      <c r="G851" s="26">
        <f>SUM(G846:G850)</f>
        <v>0.020999999999999998</v>
      </c>
      <c r="H851" s="91">
        <v>0.011</v>
      </c>
      <c r="I851" s="13">
        <v>0</v>
      </c>
      <c r="J851" s="13">
        <v>0</v>
      </c>
      <c r="K851" s="13">
        <v>0</v>
      </c>
      <c r="L851" s="13">
        <v>0</v>
      </c>
      <c r="M851" s="13">
        <v>0.068</v>
      </c>
      <c r="N851" s="13">
        <v>0.068</v>
      </c>
      <c r="O851" s="13">
        <v>0.068</v>
      </c>
      <c r="P851" s="13">
        <v>0.068</v>
      </c>
      <c r="Q851" s="13">
        <v>0.068</v>
      </c>
      <c r="R851" s="13">
        <v>0.068</v>
      </c>
      <c r="S851" s="13">
        <v>0.068</v>
      </c>
      <c r="T851" s="5">
        <f>SUM(H851:N851)</f>
        <v>0.14700000000000002</v>
      </c>
      <c r="V851" s="36"/>
      <c r="W851" s="36"/>
      <c r="X851" s="36"/>
      <c r="Y851" s="36"/>
      <c r="Z851" s="36">
        <f>0.5+0.039-0.025-0.038-0.05</f>
        <v>0.42600000000000005</v>
      </c>
      <c r="AA851" s="36">
        <f t="shared" si="171"/>
        <v>0</v>
      </c>
      <c r="AB851" s="37"/>
      <c r="AC851" s="37">
        <f t="shared" si="172"/>
        <v>0.42600000000000005</v>
      </c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>
        <f t="shared" si="170"/>
        <v>0</v>
      </c>
    </row>
    <row r="852" spans="2:47" ht="12.75">
      <c r="B852" s="27"/>
      <c r="C852" s="152" t="s">
        <v>173</v>
      </c>
      <c r="D852" s="26">
        <v>0.01</v>
      </c>
      <c r="E852" s="180">
        <v>38231</v>
      </c>
      <c r="F852" s="181">
        <v>38412</v>
      </c>
      <c r="G852" s="26"/>
      <c r="H852" s="91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f>$D852/7</f>
        <v>0.0014285714285714286</v>
      </c>
      <c r="N852" s="13">
        <f aca="true" t="shared" si="174" ref="N852:S854">$D852/7</f>
        <v>0.0014285714285714286</v>
      </c>
      <c r="O852" s="13">
        <f t="shared" si="174"/>
        <v>0.0014285714285714286</v>
      </c>
      <c r="P852" s="13">
        <f t="shared" si="174"/>
        <v>0.0014285714285714286</v>
      </c>
      <c r="Q852" s="13">
        <f t="shared" si="174"/>
        <v>0.0014285714285714286</v>
      </c>
      <c r="R852" s="13">
        <f t="shared" si="174"/>
        <v>0.0014285714285714286</v>
      </c>
      <c r="S852" s="13">
        <f t="shared" si="174"/>
        <v>0.0014285714285714286</v>
      </c>
      <c r="T852" s="5">
        <f>SUM(H852:N852)</f>
        <v>0.002857142857142857</v>
      </c>
      <c r="V852" s="36"/>
      <c r="W852" s="36"/>
      <c r="X852" s="36"/>
      <c r="Y852" s="36"/>
      <c r="Z852" s="36">
        <v>0.01</v>
      </c>
      <c r="AA852" s="36">
        <f t="shared" si="171"/>
        <v>0</v>
      </c>
      <c r="AB852" s="37"/>
      <c r="AC852" s="37">
        <f t="shared" si="172"/>
        <v>0.01</v>
      </c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>
        <f t="shared" si="170"/>
        <v>0</v>
      </c>
    </row>
    <row r="853" spans="2:47" ht="12.75">
      <c r="B853" s="27"/>
      <c r="C853" s="152" t="s">
        <v>1392</v>
      </c>
      <c r="D853" s="26">
        <v>0.075</v>
      </c>
      <c r="E853" s="180">
        <v>38231</v>
      </c>
      <c r="F853" s="181">
        <v>38412</v>
      </c>
      <c r="G853" s="26"/>
      <c r="H853" s="91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f>$D853/7</f>
        <v>0.010714285714285714</v>
      </c>
      <c r="N853" s="13">
        <f t="shared" si="174"/>
        <v>0.010714285714285714</v>
      </c>
      <c r="O853" s="13">
        <f t="shared" si="174"/>
        <v>0.010714285714285714</v>
      </c>
      <c r="P853" s="13">
        <f t="shared" si="174"/>
        <v>0.010714285714285714</v>
      </c>
      <c r="Q853" s="13">
        <f t="shared" si="174"/>
        <v>0.010714285714285714</v>
      </c>
      <c r="R853" s="13">
        <f t="shared" si="174"/>
        <v>0.010714285714285714</v>
      </c>
      <c r="S853" s="13">
        <f t="shared" si="174"/>
        <v>0.010714285714285714</v>
      </c>
      <c r="T853" s="5">
        <f>SUM(H853:N853)</f>
        <v>0.02142857142857143</v>
      </c>
      <c r="V853" s="36"/>
      <c r="W853" s="36"/>
      <c r="X853" s="36"/>
      <c r="Y853" s="36"/>
      <c r="Z853" s="36">
        <v>0.075</v>
      </c>
      <c r="AA853" s="36">
        <f t="shared" si="171"/>
        <v>0</v>
      </c>
      <c r="AB853" s="37"/>
      <c r="AC853" s="37">
        <f t="shared" si="172"/>
        <v>0.075</v>
      </c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>
        <f t="shared" si="170"/>
        <v>0</v>
      </c>
    </row>
    <row r="854" spans="2:47" ht="12.75">
      <c r="B854" s="27"/>
      <c r="C854" s="152" t="s">
        <v>484</v>
      </c>
      <c r="D854" s="155">
        <f>0.063+0.006</f>
        <v>0.069</v>
      </c>
      <c r="E854" s="180">
        <v>38231</v>
      </c>
      <c r="F854" s="181">
        <v>38412</v>
      </c>
      <c r="G854" s="155"/>
      <c r="H854" s="91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f>$D854/7</f>
        <v>0.009857142857142858</v>
      </c>
      <c r="N854" s="13">
        <f t="shared" si="174"/>
        <v>0.009857142857142858</v>
      </c>
      <c r="O854" s="13">
        <f t="shared" si="174"/>
        <v>0.009857142857142858</v>
      </c>
      <c r="P854" s="13">
        <f t="shared" si="174"/>
        <v>0.009857142857142858</v>
      </c>
      <c r="Q854" s="13">
        <f t="shared" si="174"/>
        <v>0.009857142857142858</v>
      </c>
      <c r="R854" s="13">
        <f t="shared" si="174"/>
        <v>0.009857142857142858</v>
      </c>
      <c r="S854" s="13">
        <f t="shared" si="174"/>
        <v>0.009857142857142858</v>
      </c>
      <c r="T854" s="5">
        <f>SUM(H854:N854)</f>
        <v>0.019714285714285715</v>
      </c>
      <c r="V854" s="36"/>
      <c r="W854" s="36"/>
      <c r="X854" s="36"/>
      <c r="Y854" s="36"/>
      <c r="Z854" s="36">
        <v>0.006</v>
      </c>
      <c r="AA854" s="36">
        <f t="shared" si="171"/>
        <v>0.063</v>
      </c>
      <c r="AB854" s="37"/>
      <c r="AC854" s="37">
        <f t="shared" si="172"/>
        <v>0.069</v>
      </c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>
        <v>0.052</v>
      </c>
      <c r="AR854" s="37"/>
      <c r="AS854" s="37"/>
      <c r="AT854" s="37">
        <f>0.003+0.008</f>
        <v>0.011</v>
      </c>
      <c r="AU854" s="37">
        <f t="shared" si="170"/>
        <v>0.063</v>
      </c>
    </row>
    <row r="855" spans="2:47" ht="12.75">
      <c r="B855" s="27" t="s">
        <v>10</v>
      </c>
      <c r="C855" s="84" t="s">
        <v>11</v>
      </c>
      <c r="D855" s="26">
        <v>0.1</v>
      </c>
      <c r="E855" s="173">
        <v>38169</v>
      </c>
      <c r="F855" s="173">
        <v>38169</v>
      </c>
      <c r="G855" s="26">
        <v>0.155</v>
      </c>
      <c r="H855" s="91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95"/>
      <c r="T855" s="94"/>
      <c r="V855" s="36"/>
      <c r="W855" s="36"/>
      <c r="X855" s="36"/>
      <c r="Y855" s="36"/>
      <c r="Z855" s="36">
        <v>0.1</v>
      </c>
      <c r="AA855" s="36">
        <f t="shared" si="171"/>
        <v>0</v>
      </c>
      <c r="AB855" s="37"/>
      <c r="AC855" s="37">
        <f t="shared" si="172"/>
        <v>0.1</v>
      </c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>
        <f t="shared" si="170"/>
        <v>0</v>
      </c>
    </row>
    <row r="856" spans="2:47" ht="12.75">
      <c r="B856" s="27"/>
      <c r="C856" s="152" t="s">
        <v>465</v>
      </c>
      <c r="D856" s="26"/>
      <c r="E856" s="171"/>
      <c r="F856" s="171"/>
      <c r="G856" s="26"/>
      <c r="H856" s="91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95"/>
      <c r="T856" s="94"/>
      <c r="V856" s="36"/>
      <c r="W856" s="36"/>
      <c r="X856" s="36"/>
      <c r="Y856" s="36"/>
      <c r="Z856" s="36"/>
      <c r="AA856" s="36">
        <f t="shared" si="171"/>
        <v>0</v>
      </c>
      <c r="AB856" s="37"/>
      <c r="AC856" s="37">
        <f t="shared" si="172"/>
        <v>0</v>
      </c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>
        <f t="shared" si="170"/>
        <v>0</v>
      </c>
    </row>
    <row r="857" spans="2:47" ht="12.75">
      <c r="B857" s="27" t="s">
        <v>624</v>
      </c>
      <c r="C857" s="84" t="s">
        <v>626</v>
      </c>
      <c r="D857" s="26"/>
      <c r="E857" s="171"/>
      <c r="F857" s="171"/>
      <c r="G857" s="26">
        <v>0.003</v>
      </c>
      <c r="H857" s="91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95"/>
      <c r="T857" s="94"/>
      <c r="V857" s="36"/>
      <c r="W857" s="36"/>
      <c r="X857" s="36"/>
      <c r="Y857" s="36"/>
      <c r="Z857" s="36"/>
      <c r="AA857" s="36">
        <f t="shared" si="171"/>
        <v>0</v>
      </c>
      <c r="AB857" s="37"/>
      <c r="AC857" s="37">
        <f t="shared" si="172"/>
        <v>0</v>
      </c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</row>
    <row r="858" spans="2:47" ht="12.75">
      <c r="B858" s="27"/>
      <c r="C858" s="152" t="s">
        <v>625</v>
      </c>
      <c r="D858" s="26"/>
      <c r="E858" s="171"/>
      <c r="F858" s="171"/>
      <c r="G858" s="26"/>
      <c r="H858" s="91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95"/>
      <c r="T858" s="94"/>
      <c r="V858" s="36"/>
      <c r="W858" s="36"/>
      <c r="X858" s="36"/>
      <c r="Y858" s="36"/>
      <c r="Z858" s="36"/>
      <c r="AA858" s="36">
        <f t="shared" si="171"/>
        <v>0</v>
      </c>
      <c r="AB858" s="37"/>
      <c r="AC858" s="37">
        <f t="shared" si="172"/>
        <v>0</v>
      </c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</row>
    <row r="859" spans="2:47" ht="12.75">
      <c r="B859" s="27" t="s">
        <v>12</v>
      </c>
      <c r="C859" s="84" t="s">
        <v>13</v>
      </c>
      <c r="D859" s="26"/>
      <c r="E859" s="171"/>
      <c r="F859" s="171"/>
      <c r="G859" s="26">
        <v>0.08</v>
      </c>
      <c r="H859" s="91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95"/>
      <c r="T859" s="94"/>
      <c r="V859" s="36"/>
      <c r="W859" s="36"/>
      <c r="X859" s="36"/>
      <c r="Y859" s="36"/>
      <c r="Z859" s="36"/>
      <c r="AA859" s="36">
        <f t="shared" si="171"/>
        <v>0</v>
      </c>
      <c r="AB859" s="37"/>
      <c r="AC859" s="37">
        <f t="shared" si="172"/>
        <v>0</v>
      </c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>
        <f t="shared" si="170"/>
        <v>0</v>
      </c>
    </row>
    <row r="860" spans="2:47" ht="12.75">
      <c r="B860" s="27" t="s">
        <v>14</v>
      </c>
      <c r="C860" s="84" t="s">
        <v>15</v>
      </c>
      <c r="D860" s="26">
        <v>0.03</v>
      </c>
      <c r="E860" s="180">
        <v>38231</v>
      </c>
      <c r="F860" s="181">
        <v>38412</v>
      </c>
      <c r="G860" s="26">
        <v>0.011</v>
      </c>
      <c r="H860" s="91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f>$D860/7</f>
        <v>0.004285714285714286</v>
      </c>
      <c r="N860" s="13">
        <f aca="true" t="shared" si="175" ref="N860:S861">$D860/7</f>
        <v>0.004285714285714286</v>
      </c>
      <c r="O860" s="13">
        <f t="shared" si="175"/>
        <v>0.004285714285714286</v>
      </c>
      <c r="P860" s="13">
        <f t="shared" si="175"/>
        <v>0.004285714285714286</v>
      </c>
      <c r="Q860" s="13">
        <f t="shared" si="175"/>
        <v>0.004285714285714286</v>
      </c>
      <c r="R860" s="13">
        <f t="shared" si="175"/>
        <v>0.004285714285714286</v>
      </c>
      <c r="S860" s="13">
        <f t="shared" si="175"/>
        <v>0.004285714285714286</v>
      </c>
      <c r="T860" s="5">
        <f>SUM(H860:N860)</f>
        <v>0.008571428571428572</v>
      </c>
      <c r="V860" s="36"/>
      <c r="W860" s="36"/>
      <c r="X860" s="36"/>
      <c r="Y860" s="36"/>
      <c r="Z860" s="36"/>
      <c r="AA860" s="36">
        <f t="shared" si="171"/>
        <v>0.03</v>
      </c>
      <c r="AB860" s="37"/>
      <c r="AC860" s="37">
        <f t="shared" si="172"/>
        <v>0.03</v>
      </c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>
        <v>0.03</v>
      </c>
      <c r="AP860" s="37"/>
      <c r="AQ860" s="37"/>
      <c r="AR860" s="37"/>
      <c r="AS860" s="37"/>
      <c r="AT860" s="37"/>
      <c r="AU860" s="37">
        <f t="shared" si="170"/>
        <v>0.03</v>
      </c>
    </row>
    <row r="861" spans="2:47" ht="12.75">
      <c r="B861" s="27" t="s">
        <v>522</v>
      </c>
      <c r="C861" s="84" t="s">
        <v>1390</v>
      </c>
      <c r="D861" s="26">
        <v>0.01</v>
      </c>
      <c r="E861" s="180">
        <v>38231</v>
      </c>
      <c r="F861" s="181">
        <v>38412</v>
      </c>
      <c r="G861" s="26"/>
      <c r="H861" s="91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f>$D861/7</f>
        <v>0.0014285714285714286</v>
      </c>
      <c r="N861" s="13">
        <f t="shared" si="175"/>
        <v>0.0014285714285714286</v>
      </c>
      <c r="O861" s="13">
        <f t="shared" si="175"/>
        <v>0.0014285714285714286</v>
      </c>
      <c r="P861" s="13">
        <f t="shared" si="175"/>
        <v>0.0014285714285714286</v>
      </c>
      <c r="Q861" s="13">
        <f t="shared" si="175"/>
        <v>0.0014285714285714286</v>
      </c>
      <c r="R861" s="13">
        <f t="shared" si="175"/>
        <v>0.0014285714285714286</v>
      </c>
      <c r="S861" s="13">
        <f t="shared" si="175"/>
        <v>0.0014285714285714286</v>
      </c>
      <c r="T861" s="5">
        <f>SUM(H861:N861)</f>
        <v>0.002857142857142857</v>
      </c>
      <c r="V861" s="36"/>
      <c r="W861" s="36"/>
      <c r="X861" s="36"/>
      <c r="Y861" s="36"/>
      <c r="Z861" s="36"/>
      <c r="AA861" s="36">
        <f t="shared" si="171"/>
        <v>0.01</v>
      </c>
      <c r="AB861" s="37"/>
      <c r="AC861" s="37">
        <f t="shared" si="172"/>
        <v>0.01</v>
      </c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>
        <v>0.01</v>
      </c>
      <c r="AP861" s="37"/>
      <c r="AQ861" s="37"/>
      <c r="AR861" s="37"/>
      <c r="AS861" s="37"/>
      <c r="AT861" s="37"/>
      <c r="AU861" s="37"/>
    </row>
    <row r="862" spans="2:47" ht="12.75">
      <c r="B862" s="27" t="s">
        <v>16</v>
      </c>
      <c r="C862" s="84" t="s">
        <v>17</v>
      </c>
      <c r="D862" s="26"/>
      <c r="E862" s="171"/>
      <c r="F862" s="171"/>
      <c r="G862" s="26">
        <v>0.001</v>
      </c>
      <c r="H862" s="91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95"/>
      <c r="T862" s="94"/>
      <c r="V862" s="36"/>
      <c r="W862" s="36"/>
      <c r="X862" s="36"/>
      <c r="Y862" s="36"/>
      <c r="Z862" s="36"/>
      <c r="AA862" s="36">
        <f t="shared" si="171"/>
        <v>0</v>
      </c>
      <c r="AB862" s="37"/>
      <c r="AC862" s="37">
        <f t="shared" si="172"/>
        <v>0</v>
      </c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>
        <f t="shared" si="170"/>
        <v>0</v>
      </c>
    </row>
    <row r="863" spans="2:47" ht="12.75">
      <c r="B863" s="27" t="s">
        <v>124</v>
      </c>
      <c r="C863" s="84" t="s">
        <v>152</v>
      </c>
      <c r="D863" s="26"/>
      <c r="E863" s="171"/>
      <c r="F863" s="171"/>
      <c r="G863" s="26">
        <v>0.003</v>
      </c>
      <c r="H863" s="91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5"/>
      <c r="V863" s="36"/>
      <c r="W863" s="36"/>
      <c r="X863" s="36"/>
      <c r="Y863" s="36"/>
      <c r="Z863" s="36"/>
      <c r="AA863" s="36">
        <f t="shared" si="171"/>
        <v>0</v>
      </c>
      <c r="AB863" s="37"/>
      <c r="AC863" s="37">
        <f t="shared" si="172"/>
        <v>0</v>
      </c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</row>
    <row r="864" spans="2:47" ht="12.75">
      <c r="B864" s="27" t="s">
        <v>18</v>
      </c>
      <c r="C864" s="84" t="s">
        <v>19</v>
      </c>
      <c r="D864" s="26">
        <v>0.014</v>
      </c>
      <c r="E864" s="180">
        <v>38231</v>
      </c>
      <c r="F864" s="181">
        <v>38412</v>
      </c>
      <c r="G864" s="26">
        <v>0.001</v>
      </c>
      <c r="H864" s="91">
        <f>$D864/12</f>
        <v>0.0011666666666666668</v>
      </c>
      <c r="I864" s="13">
        <v>0</v>
      </c>
      <c r="J864" s="13">
        <v>0</v>
      </c>
      <c r="K864" s="13">
        <v>0</v>
      </c>
      <c r="L864" s="13">
        <v>0</v>
      </c>
      <c r="M864" s="13">
        <v>0.002</v>
      </c>
      <c r="N864" s="13">
        <v>0.002</v>
      </c>
      <c r="O864" s="13">
        <v>0.002</v>
      </c>
      <c r="P864" s="13">
        <v>0.002</v>
      </c>
      <c r="Q864" s="13">
        <v>0.002</v>
      </c>
      <c r="R864" s="13">
        <v>0.002</v>
      </c>
      <c r="S864" s="13">
        <f>$D864/12</f>
        <v>0.0011666666666666668</v>
      </c>
      <c r="T864" s="5">
        <f>SUM(H864:N864)</f>
        <v>0.005166666666666667</v>
      </c>
      <c r="V864" s="36"/>
      <c r="W864" s="36"/>
      <c r="X864" s="36"/>
      <c r="Y864" s="36"/>
      <c r="Z864" s="36"/>
      <c r="AA864" s="36">
        <f t="shared" si="171"/>
        <v>0.014</v>
      </c>
      <c r="AB864" s="37"/>
      <c r="AC864" s="37">
        <f t="shared" si="172"/>
        <v>0.014</v>
      </c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>
        <v>0.014</v>
      </c>
      <c r="AP864" s="37"/>
      <c r="AQ864" s="37"/>
      <c r="AR864" s="37"/>
      <c r="AS864" s="37"/>
      <c r="AT864" s="37"/>
      <c r="AU864" s="37">
        <f t="shared" si="170"/>
        <v>0.014</v>
      </c>
    </row>
    <row r="865" spans="2:47" ht="12.75">
      <c r="B865" s="27" t="s">
        <v>487</v>
      </c>
      <c r="C865" s="84" t="s">
        <v>486</v>
      </c>
      <c r="D865" s="26"/>
      <c r="E865" s="171"/>
      <c r="F865" s="171"/>
      <c r="G865" s="26">
        <v>0.006</v>
      </c>
      <c r="H865" s="91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95"/>
      <c r="T865" s="94"/>
      <c r="V865" s="36"/>
      <c r="W865" s="36"/>
      <c r="X865" s="36"/>
      <c r="Y865" s="36"/>
      <c r="Z865" s="36"/>
      <c r="AA865" s="36">
        <f t="shared" si="171"/>
        <v>0</v>
      </c>
      <c r="AB865" s="37"/>
      <c r="AC865" s="37">
        <f t="shared" si="172"/>
        <v>0</v>
      </c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>
        <f t="shared" si="170"/>
        <v>0</v>
      </c>
    </row>
    <row r="866" spans="2:47" ht="12.75">
      <c r="B866" s="27"/>
      <c r="C866" s="152" t="s">
        <v>466</v>
      </c>
      <c r="D866" s="26"/>
      <c r="E866" s="171"/>
      <c r="F866" s="171"/>
      <c r="G866" s="26"/>
      <c r="H866" s="91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95"/>
      <c r="T866" s="94"/>
      <c r="V866" s="36"/>
      <c r="W866" s="36"/>
      <c r="X866" s="36"/>
      <c r="Y866" s="36"/>
      <c r="Z866" s="36"/>
      <c r="AA866" s="36">
        <f t="shared" si="171"/>
        <v>0</v>
      </c>
      <c r="AB866" s="37"/>
      <c r="AC866" s="37">
        <f t="shared" si="172"/>
        <v>0</v>
      </c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>
        <f t="shared" si="170"/>
        <v>0</v>
      </c>
    </row>
    <row r="867" spans="2:47" ht="12.75">
      <c r="B867" s="27" t="s">
        <v>20</v>
      </c>
      <c r="C867" s="84" t="s">
        <v>25</v>
      </c>
      <c r="D867" s="26"/>
      <c r="E867" s="171"/>
      <c r="F867" s="171"/>
      <c r="G867" s="26">
        <v>0.00141296</v>
      </c>
      <c r="H867" s="91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95"/>
      <c r="T867" s="94"/>
      <c r="V867" s="36"/>
      <c r="W867" s="36"/>
      <c r="X867" s="36"/>
      <c r="Y867" s="36"/>
      <c r="Z867" s="36"/>
      <c r="AA867" s="36">
        <f t="shared" si="171"/>
        <v>0</v>
      </c>
      <c r="AB867" s="37"/>
      <c r="AC867" s="37">
        <f t="shared" si="172"/>
        <v>0</v>
      </c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>
        <f t="shared" si="170"/>
        <v>0</v>
      </c>
    </row>
    <row r="868" spans="2:47" ht="12.75">
      <c r="B868" s="27"/>
      <c r="C868" s="152" t="s">
        <v>467</v>
      </c>
      <c r="D868" s="26"/>
      <c r="E868" s="171"/>
      <c r="F868" s="171"/>
      <c r="G868" s="26"/>
      <c r="H868" s="91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95"/>
      <c r="T868" s="94"/>
      <c r="V868" s="36"/>
      <c r="W868" s="36"/>
      <c r="X868" s="36"/>
      <c r="Y868" s="36"/>
      <c r="Z868" s="36"/>
      <c r="AA868" s="36">
        <f t="shared" si="171"/>
        <v>0</v>
      </c>
      <c r="AB868" s="37"/>
      <c r="AC868" s="37">
        <f t="shared" si="172"/>
        <v>0</v>
      </c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>
        <f t="shared" si="170"/>
        <v>0</v>
      </c>
    </row>
    <row r="869" spans="2:47" ht="12.75">
      <c r="B869" s="27"/>
      <c r="C869" s="152" t="s">
        <v>485</v>
      </c>
      <c r="D869" s="26">
        <v>0.003</v>
      </c>
      <c r="E869" s="171"/>
      <c r="F869" s="171"/>
      <c r="G869" s="26"/>
      <c r="H869" s="91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f>$D869/7</f>
        <v>0.0004285714285714286</v>
      </c>
      <c r="N869" s="13">
        <f aca="true" t="shared" si="176" ref="N869:S869">$D869/7</f>
        <v>0.0004285714285714286</v>
      </c>
      <c r="O869" s="13">
        <f t="shared" si="176"/>
        <v>0.0004285714285714286</v>
      </c>
      <c r="P869" s="13">
        <f t="shared" si="176"/>
        <v>0.0004285714285714286</v>
      </c>
      <c r="Q869" s="13">
        <f t="shared" si="176"/>
        <v>0.0004285714285714286</v>
      </c>
      <c r="R869" s="13">
        <f t="shared" si="176"/>
        <v>0.0004285714285714286</v>
      </c>
      <c r="S869" s="13">
        <f t="shared" si="176"/>
        <v>0.0004285714285714286</v>
      </c>
      <c r="T869" s="5">
        <f>SUM(H869:N869)</f>
        <v>0.0008571428571428572</v>
      </c>
      <c r="V869" s="36"/>
      <c r="W869" s="36"/>
      <c r="X869" s="36"/>
      <c r="Y869" s="36"/>
      <c r="Z869" s="36">
        <v>0.003</v>
      </c>
      <c r="AA869" s="36">
        <f t="shared" si="171"/>
        <v>0</v>
      </c>
      <c r="AB869" s="37"/>
      <c r="AC869" s="37">
        <f t="shared" si="172"/>
        <v>0.003</v>
      </c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>
        <f t="shared" si="170"/>
        <v>0</v>
      </c>
    </row>
    <row r="870" spans="2:47" ht="12.75">
      <c r="B870" s="27" t="s">
        <v>26</v>
      </c>
      <c r="C870" s="84" t="s">
        <v>27</v>
      </c>
      <c r="D870" s="26"/>
      <c r="E870" s="171"/>
      <c r="F870" s="171"/>
      <c r="G870" s="26">
        <v>0</v>
      </c>
      <c r="H870" s="91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95"/>
      <c r="T870" s="94"/>
      <c r="V870" s="36"/>
      <c r="W870" s="36"/>
      <c r="X870" s="36"/>
      <c r="Y870" s="36"/>
      <c r="Z870" s="36"/>
      <c r="AA870" s="36">
        <f t="shared" si="171"/>
        <v>0</v>
      </c>
      <c r="AB870" s="37"/>
      <c r="AC870" s="37">
        <f t="shared" si="172"/>
        <v>0</v>
      </c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>
        <f t="shared" si="170"/>
        <v>0</v>
      </c>
    </row>
    <row r="871" spans="2:47" ht="12.75">
      <c r="B871" s="27"/>
      <c r="C871" s="152" t="s">
        <v>468</v>
      </c>
      <c r="D871" s="26"/>
      <c r="E871" s="171"/>
      <c r="F871" s="171"/>
      <c r="G871" s="26"/>
      <c r="H871" s="91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95"/>
      <c r="T871" s="94"/>
      <c r="V871" s="36"/>
      <c r="W871" s="36"/>
      <c r="X871" s="36"/>
      <c r="Y871" s="36"/>
      <c r="Z871" s="36"/>
      <c r="AA871" s="36">
        <f t="shared" si="171"/>
        <v>0</v>
      </c>
      <c r="AB871" s="37"/>
      <c r="AC871" s="37">
        <f t="shared" si="172"/>
        <v>0</v>
      </c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>
        <f t="shared" si="170"/>
        <v>0</v>
      </c>
    </row>
    <row r="872" spans="2:47" ht="12.75">
      <c r="B872" s="27" t="s">
        <v>469</v>
      </c>
      <c r="C872" s="84" t="s">
        <v>470</v>
      </c>
      <c r="D872" s="26"/>
      <c r="E872" s="171"/>
      <c r="F872" s="171"/>
      <c r="G872" s="26">
        <v>0.148</v>
      </c>
      <c r="H872" s="91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95"/>
      <c r="T872" s="94"/>
      <c r="V872" s="36"/>
      <c r="W872" s="36"/>
      <c r="X872" s="36"/>
      <c r="Y872" s="36"/>
      <c r="Z872" s="36"/>
      <c r="AA872" s="36">
        <f t="shared" si="171"/>
        <v>0</v>
      </c>
      <c r="AB872" s="37"/>
      <c r="AC872" s="37">
        <f t="shared" si="172"/>
        <v>0</v>
      </c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>
        <f t="shared" si="170"/>
        <v>0</v>
      </c>
    </row>
    <row r="873" spans="2:47" ht="12.75">
      <c r="B873" s="27"/>
      <c r="C873" s="152" t="s">
        <v>471</v>
      </c>
      <c r="D873" s="155">
        <f>0.139-0.004-0.037+0.05</f>
        <v>0.14800000000000002</v>
      </c>
      <c r="E873" s="171"/>
      <c r="F873" s="171"/>
      <c r="G873" s="155">
        <f>SUM(G872)</f>
        <v>0.148</v>
      </c>
      <c r="H873" s="91">
        <v>0.148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5">
        <f>SUM(H873:N873)</f>
        <v>0.148</v>
      </c>
      <c r="V873" s="36"/>
      <c r="W873" s="36"/>
      <c r="X873" s="36"/>
      <c r="Y873" s="36"/>
      <c r="Z873" s="160"/>
      <c r="AA873" s="36">
        <f t="shared" si="171"/>
        <v>0.14800000000000002</v>
      </c>
      <c r="AB873" s="37"/>
      <c r="AC873" s="37">
        <f t="shared" si="172"/>
        <v>0.14800000000000002</v>
      </c>
      <c r="AE873" s="37"/>
      <c r="AF873" s="37"/>
      <c r="AG873" s="37"/>
      <c r="AH873" s="37"/>
      <c r="AI873" s="37"/>
      <c r="AJ873" s="37"/>
      <c r="AK873" s="37"/>
      <c r="AL873" s="37"/>
      <c r="AM873" s="37"/>
      <c r="AN873" s="37">
        <f>0.139-0.037-0.004+0.05</f>
        <v>0.14800000000000002</v>
      </c>
      <c r="AO873" s="37"/>
      <c r="AP873" s="37"/>
      <c r="AQ873" s="37"/>
      <c r="AR873" s="37"/>
      <c r="AS873" s="37"/>
      <c r="AT873" s="37"/>
      <c r="AU873" s="37">
        <f t="shared" si="170"/>
        <v>0.14800000000000002</v>
      </c>
    </row>
    <row r="874" spans="2:47" ht="12.75">
      <c r="B874" s="27" t="s">
        <v>28</v>
      </c>
      <c r="C874" s="84" t="s">
        <v>29</v>
      </c>
      <c r="D874" s="26"/>
      <c r="E874" s="171"/>
      <c r="F874" s="171"/>
      <c r="G874" s="26">
        <v>0</v>
      </c>
      <c r="H874" s="91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95"/>
      <c r="T874" s="94"/>
      <c r="V874" s="36"/>
      <c r="W874" s="36"/>
      <c r="X874" s="36"/>
      <c r="Y874" s="36"/>
      <c r="Z874" s="36"/>
      <c r="AA874" s="36">
        <f t="shared" si="171"/>
        <v>0</v>
      </c>
      <c r="AB874" s="37"/>
      <c r="AC874" s="37">
        <f t="shared" si="172"/>
        <v>0</v>
      </c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>
        <f t="shared" si="170"/>
        <v>0</v>
      </c>
    </row>
    <row r="875" spans="2:47" ht="12.75">
      <c r="B875" s="27"/>
      <c r="C875" s="152" t="s">
        <v>472</v>
      </c>
      <c r="D875" s="26"/>
      <c r="E875" s="171"/>
      <c r="F875" s="171"/>
      <c r="G875" s="26"/>
      <c r="H875" s="91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95"/>
      <c r="T875" s="94"/>
      <c r="V875" s="36"/>
      <c r="W875" s="36"/>
      <c r="X875" s="36"/>
      <c r="Y875" s="36"/>
      <c r="Z875" s="36"/>
      <c r="AA875" s="36">
        <f t="shared" si="171"/>
        <v>0</v>
      </c>
      <c r="AB875" s="37"/>
      <c r="AC875" s="37">
        <f t="shared" si="172"/>
        <v>0</v>
      </c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>
        <f t="shared" si="170"/>
        <v>0</v>
      </c>
    </row>
    <row r="876" spans="2:47" ht="12.75">
      <c r="B876" s="27" t="s">
        <v>30</v>
      </c>
      <c r="C876" s="84" t="s">
        <v>31</v>
      </c>
      <c r="D876" s="26"/>
      <c r="E876" s="171"/>
      <c r="F876" s="171"/>
      <c r="G876" s="26">
        <v>0.00885449</v>
      </c>
      <c r="H876" s="91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95"/>
      <c r="T876" s="94"/>
      <c r="V876" s="36"/>
      <c r="W876" s="36"/>
      <c r="X876" s="36"/>
      <c r="Y876" s="36"/>
      <c r="Z876" s="36"/>
      <c r="AA876" s="36">
        <f t="shared" si="171"/>
        <v>0</v>
      </c>
      <c r="AB876" s="37"/>
      <c r="AC876" s="37">
        <f t="shared" si="172"/>
        <v>0</v>
      </c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>
        <f t="shared" si="170"/>
        <v>0</v>
      </c>
    </row>
    <row r="877" spans="2:47" ht="12.75">
      <c r="B877" s="27" t="s">
        <v>32</v>
      </c>
      <c r="C877" s="84" t="s">
        <v>33</v>
      </c>
      <c r="D877" s="26"/>
      <c r="E877" s="171"/>
      <c r="F877" s="171"/>
      <c r="G877" s="26">
        <v>0.002</v>
      </c>
      <c r="H877" s="91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95"/>
      <c r="T877" s="94"/>
      <c r="V877" s="36"/>
      <c r="W877" s="36"/>
      <c r="X877" s="36"/>
      <c r="Y877" s="36"/>
      <c r="Z877" s="36"/>
      <c r="AA877" s="36">
        <f t="shared" si="171"/>
        <v>0</v>
      </c>
      <c r="AB877" s="37"/>
      <c r="AC877" s="37">
        <f t="shared" si="172"/>
        <v>0</v>
      </c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>
        <f t="shared" si="170"/>
        <v>0</v>
      </c>
    </row>
    <row r="878" spans="2:47" ht="12.75">
      <c r="B878" s="27" t="s">
        <v>34</v>
      </c>
      <c r="C878" s="84" t="s">
        <v>35</v>
      </c>
      <c r="D878" s="26"/>
      <c r="E878" s="171"/>
      <c r="F878" s="171"/>
      <c r="G878" s="26">
        <v>0.023</v>
      </c>
      <c r="H878" s="91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95"/>
      <c r="T878" s="94"/>
      <c r="V878" s="36"/>
      <c r="W878" s="36"/>
      <c r="X878" s="36"/>
      <c r="Y878" s="36"/>
      <c r="Z878" s="36"/>
      <c r="AA878" s="36">
        <f t="shared" si="171"/>
        <v>0</v>
      </c>
      <c r="AB878" s="37"/>
      <c r="AC878" s="37">
        <f t="shared" si="172"/>
        <v>0</v>
      </c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>
        <f t="shared" si="170"/>
        <v>0</v>
      </c>
    </row>
    <row r="879" spans="2:47" ht="12.75">
      <c r="B879" s="27"/>
      <c r="C879" s="152" t="s">
        <v>473</v>
      </c>
      <c r="D879" s="26"/>
      <c r="E879" s="171"/>
      <c r="F879" s="171"/>
      <c r="G879" s="26">
        <f>SUM(G876:G878)</f>
        <v>0.03385449</v>
      </c>
      <c r="H879" s="91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95"/>
      <c r="T879" s="94"/>
      <c r="V879" s="36"/>
      <c r="W879" s="36"/>
      <c r="X879" s="36"/>
      <c r="Y879" s="36"/>
      <c r="Z879" s="36"/>
      <c r="AA879" s="36">
        <f t="shared" si="171"/>
        <v>0</v>
      </c>
      <c r="AB879" s="37"/>
      <c r="AC879" s="37">
        <f t="shared" si="172"/>
        <v>0</v>
      </c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>
        <f t="shared" si="170"/>
        <v>0</v>
      </c>
    </row>
    <row r="880" spans="2:47" ht="12.75" hidden="1">
      <c r="B880" s="27" t="s">
        <v>36</v>
      </c>
      <c r="C880" s="84" t="s">
        <v>480</v>
      </c>
      <c r="D880" s="26"/>
      <c r="E880" s="171"/>
      <c r="F880" s="171"/>
      <c r="G880" s="26">
        <v>0</v>
      </c>
      <c r="H880" s="91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95"/>
      <c r="T880" s="94"/>
      <c r="V880" s="36"/>
      <c r="W880" s="36"/>
      <c r="X880" s="36"/>
      <c r="Y880" s="36"/>
      <c r="Z880" s="36"/>
      <c r="AA880" s="36">
        <f t="shared" si="171"/>
        <v>0</v>
      </c>
      <c r="AB880" s="37"/>
      <c r="AC880" s="37">
        <f t="shared" si="172"/>
        <v>0</v>
      </c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>
        <f t="shared" si="170"/>
        <v>0</v>
      </c>
    </row>
    <row r="881" spans="2:47" ht="12.75" hidden="1">
      <c r="B881" s="27" t="s">
        <v>37</v>
      </c>
      <c r="C881" s="84" t="s">
        <v>474</v>
      </c>
      <c r="D881" s="26"/>
      <c r="E881" s="171"/>
      <c r="F881" s="171"/>
      <c r="G881" s="26">
        <v>0.003175</v>
      </c>
      <c r="H881" s="91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95"/>
      <c r="T881" s="94"/>
      <c r="V881" s="36"/>
      <c r="W881" s="36"/>
      <c r="X881" s="36"/>
      <c r="Y881" s="36"/>
      <c r="Z881" s="36"/>
      <c r="AA881" s="36">
        <f t="shared" si="171"/>
        <v>0</v>
      </c>
      <c r="AB881" s="37"/>
      <c r="AC881" s="37">
        <f t="shared" si="172"/>
        <v>0</v>
      </c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>
        <f t="shared" si="170"/>
        <v>0</v>
      </c>
    </row>
    <row r="882" spans="2:47" ht="12.75" hidden="1">
      <c r="B882" s="27" t="s">
        <v>489</v>
      </c>
      <c r="C882" s="84" t="s">
        <v>488</v>
      </c>
      <c r="D882" s="26"/>
      <c r="E882" s="171"/>
      <c r="F882" s="173">
        <v>38322</v>
      </c>
      <c r="G882" s="26">
        <v>0.002</v>
      </c>
      <c r="H882" s="91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95"/>
      <c r="T882" s="94"/>
      <c r="V882" s="36"/>
      <c r="W882" s="36"/>
      <c r="X882" s="36"/>
      <c r="Y882" s="36"/>
      <c r="Z882" s="36"/>
      <c r="AA882" s="36">
        <f t="shared" si="171"/>
        <v>0</v>
      </c>
      <c r="AB882" s="37"/>
      <c r="AC882" s="37">
        <f t="shared" si="172"/>
        <v>0</v>
      </c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>
        <f t="shared" si="170"/>
        <v>0</v>
      </c>
    </row>
    <row r="883" spans="2:47" ht="12.75" hidden="1">
      <c r="B883" s="27" t="s">
        <v>38</v>
      </c>
      <c r="C883" s="84" t="s">
        <v>475</v>
      </c>
      <c r="D883" s="26"/>
      <c r="E883" s="171"/>
      <c r="F883" s="171"/>
      <c r="G883" s="26">
        <v>0</v>
      </c>
      <c r="H883" s="91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95"/>
      <c r="T883" s="94"/>
      <c r="V883" s="36"/>
      <c r="W883" s="36"/>
      <c r="X883" s="36"/>
      <c r="Y883" s="36"/>
      <c r="Z883" s="36"/>
      <c r="AA883" s="36">
        <f t="shared" si="171"/>
        <v>0</v>
      </c>
      <c r="AB883" s="37"/>
      <c r="AC883" s="37">
        <f t="shared" si="172"/>
        <v>0</v>
      </c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>
        <f t="shared" si="170"/>
        <v>0</v>
      </c>
    </row>
    <row r="884" spans="2:47" ht="12.75" hidden="1">
      <c r="B884" s="27" t="s">
        <v>163</v>
      </c>
      <c r="C884" s="84" t="s">
        <v>166</v>
      </c>
      <c r="D884" s="26"/>
      <c r="E884" s="171"/>
      <c r="F884" s="171"/>
      <c r="G884" s="26">
        <v>0.0041</v>
      </c>
      <c r="H884" s="91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95"/>
      <c r="T884" s="94"/>
      <c r="V884" s="36"/>
      <c r="W884" s="36"/>
      <c r="X884" s="36"/>
      <c r="Y884" s="36"/>
      <c r="Z884" s="36"/>
      <c r="AA884" s="36">
        <f t="shared" si="171"/>
        <v>0</v>
      </c>
      <c r="AB884" s="37"/>
      <c r="AC884" s="37">
        <f t="shared" si="172"/>
        <v>0</v>
      </c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>
        <f t="shared" si="170"/>
        <v>0</v>
      </c>
    </row>
    <row r="885" spans="2:47" ht="12.75" hidden="1">
      <c r="B885" s="27" t="s">
        <v>295</v>
      </c>
      <c r="C885" s="84" t="s">
        <v>296</v>
      </c>
      <c r="D885" s="26"/>
      <c r="E885" s="171"/>
      <c r="F885" s="171"/>
      <c r="G885" s="26"/>
      <c r="H885" s="91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95"/>
      <c r="T885" s="94"/>
      <c r="V885" s="36"/>
      <c r="W885" s="36"/>
      <c r="X885" s="36"/>
      <c r="Y885" s="36"/>
      <c r="Z885" s="36"/>
      <c r="AA885" s="36"/>
      <c r="AB885" s="37"/>
      <c r="AC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</row>
    <row r="886" spans="2:47" ht="12.75" hidden="1">
      <c r="B886" s="27" t="s">
        <v>164</v>
      </c>
      <c r="C886" s="84" t="s">
        <v>167</v>
      </c>
      <c r="D886" s="26"/>
      <c r="E886" s="171"/>
      <c r="F886" s="171"/>
      <c r="G886" s="26">
        <v>0.009</v>
      </c>
      <c r="H886" s="91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95"/>
      <c r="T886" s="94"/>
      <c r="V886" s="36"/>
      <c r="W886" s="36"/>
      <c r="X886" s="36"/>
      <c r="Y886" s="36"/>
      <c r="Z886" s="36"/>
      <c r="AA886" s="36">
        <f t="shared" si="171"/>
        <v>0</v>
      </c>
      <c r="AB886" s="37"/>
      <c r="AC886" s="37">
        <f t="shared" si="172"/>
        <v>0</v>
      </c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>
        <f t="shared" si="170"/>
        <v>0</v>
      </c>
    </row>
    <row r="887" spans="2:47" ht="12.75" hidden="1">
      <c r="B887" s="27" t="s">
        <v>165</v>
      </c>
      <c r="C887" s="84" t="s">
        <v>168</v>
      </c>
      <c r="D887" s="26"/>
      <c r="E887" s="171"/>
      <c r="F887" s="171"/>
      <c r="G887" s="26">
        <v>0.007</v>
      </c>
      <c r="H887" s="91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95"/>
      <c r="T887" s="94"/>
      <c r="V887" s="36"/>
      <c r="W887" s="36"/>
      <c r="X887" s="36"/>
      <c r="Y887" s="36"/>
      <c r="Z887" s="36"/>
      <c r="AA887" s="36">
        <f t="shared" si="171"/>
        <v>0</v>
      </c>
      <c r="AB887" s="37"/>
      <c r="AC887" s="37">
        <f t="shared" si="172"/>
        <v>0</v>
      </c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>
        <f t="shared" si="170"/>
        <v>0</v>
      </c>
    </row>
    <row r="888" spans="2:47" ht="12.75" hidden="1">
      <c r="B888" s="27" t="s">
        <v>39</v>
      </c>
      <c r="C888" s="84" t="s">
        <v>476</v>
      </c>
      <c r="D888" s="26"/>
      <c r="E888" s="171"/>
      <c r="F888" s="173">
        <v>38412</v>
      </c>
      <c r="G888" s="26">
        <v>0.014</v>
      </c>
      <c r="H888" s="91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95"/>
      <c r="T888" s="94"/>
      <c r="V888" s="36"/>
      <c r="W888" s="36"/>
      <c r="X888" s="36"/>
      <c r="Y888" s="36"/>
      <c r="Z888" s="36"/>
      <c r="AA888" s="36">
        <f t="shared" si="171"/>
        <v>0</v>
      </c>
      <c r="AB888" s="37"/>
      <c r="AC888" s="37">
        <f t="shared" si="172"/>
        <v>0</v>
      </c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>
        <f t="shared" si="170"/>
        <v>0</v>
      </c>
    </row>
    <row r="889" spans="2:47" ht="12.75" hidden="1">
      <c r="B889" s="27" t="s">
        <v>40</v>
      </c>
      <c r="C889" s="84" t="s">
        <v>477</v>
      </c>
      <c r="D889" s="26"/>
      <c r="E889" s="171"/>
      <c r="F889" s="173">
        <v>38596</v>
      </c>
      <c r="G889" s="26">
        <v>0</v>
      </c>
      <c r="H889" s="91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95"/>
      <c r="T889" s="94"/>
      <c r="V889" s="36"/>
      <c r="W889" s="36"/>
      <c r="X889" s="36"/>
      <c r="Y889" s="36"/>
      <c r="Z889" s="36"/>
      <c r="AA889" s="36">
        <f t="shared" si="171"/>
        <v>0</v>
      </c>
      <c r="AB889" s="37"/>
      <c r="AC889" s="37">
        <f t="shared" si="172"/>
        <v>0</v>
      </c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>
        <f t="shared" si="170"/>
        <v>0</v>
      </c>
    </row>
    <row r="890" spans="2:47" ht="12.75" hidden="1">
      <c r="B890" s="27" t="s">
        <v>297</v>
      </c>
      <c r="C890" s="84" t="s">
        <v>298</v>
      </c>
      <c r="D890" s="26"/>
      <c r="E890" s="171"/>
      <c r="F890" s="173"/>
      <c r="G890" s="26">
        <v>0.002</v>
      </c>
      <c r="H890" s="91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95"/>
      <c r="T890" s="94"/>
      <c r="V890" s="36"/>
      <c r="W890" s="36"/>
      <c r="X890" s="36"/>
      <c r="Y890" s="36"/>
      <c r="Z890" s="36"/>
      <c r="AA890" s="36"/>
      <c r="AB890" s="37"/>
      <c r="AC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</row>
    <row r="891" spans="1:47" ht="12.75" hidden="1">
      <c r="A891" s="33">
        <f>-AE939</f>
        <v>0</v>
      </c>
      <c r="B891" s="27" t="s">
        <v>169</v>
      </c>
      <c r="C891" s="84" t="s">
        <v>170</v>
      </c>
      <c r="D891" s="26"/>
      <c r="E891" s="171"/>
      <c r="F891" s="173">
        <v>38412</v>
      </c>
      <c r="G891" s="26">
        <v>0.002</v>
      </c>
      <c r="H891" s="91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95"/>
      <c r="T891" s="94"/>
      <c r="V891" s="36"/>
      <c r="W891" s="36"/>
      <c r="X891" s="36"/>
      <c r="Y891" s="36"/>
      <c r="Z891" s="36"/>
      <c r="AA891" s="36">
        <f t="shared" si="171"/>
        <v>0</v>
      </c>
      <c r="AB891" s="37"/>
      <c r="AC891" s="37">
        <f t="shared" si="172"/>
        <v>0</v>
      </c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>
        <f t="shared" si="170"/>
        <v>0</v>
      </c>
    </row>
    <row r="892" spans="2:47" ht="12.75" hidden="1">
      <c r="B892" s="27" t="s">
        <v>490</v>
      </c>
      <c r="C892" s="84" t="s">
        <v>491</v>
      </c>
      <c r="D892" s="26"/>
      <c r="E892" s="171"/>
      <c r="F892" s="171"/>
      <c r="G892" s="26">
        <v>0.001</v>
      </c>
      <c r="H892" s="91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95"/>
      <c r="T892" s="94"/>
      <c r="V892" s="36"/>
      <c r="W892" s="36"/>
      <c r="X892" s="36"/>
      <c r="Y892" s="36"/>
      <c r="Z892" s="36"/>
      <c r="AA892" s="36">
        <f t="shared" si="171"/>
        <v>0</v>
      </c>
      <c r="AB892" s="37"/>
      <c r="AC892" s="37">
        <f t="shared" si="172"/>
        <v>0</v>
      </c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>
        <f t="shared" si="170"/>
        <v>0</v>
      </c>
    </row>
    <row r="893" spans="1:47" ht="12.75">
      <c r="A893" s="33" t="s">
        <v>1176</v>
      </c>
      <c r="B893" s="27"/>
      <c r="C893" s="152" t="s">
        <v>481</v>
      </c>
      <c r="D893" s="26">
        <f>G893</f>
        <v>0.044275</v>
      </c>
      <c r="E893" s="171"/>
      <c r="F893" s="171"/>
      <c r="G893" s="26">
        <f>SUM(G880:G892)</f>
        <v>0.044275</v>
      </c>
      <c r="H893" s="91">
        <f>G893</f>
        <v>0.044275</v>
      </c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5">
        <f>SUM(H893:N893)</f>
        <v>0.044275</v>
      </c>
      <c r="V893" s="36"/>
      <c r="W893" s="36"/>
      <c r="X893" s="36"/>
      <c r="Y893" s="36"/>
      <c r="Z893" s="36">
        <f>G893</f>
        <v>0.044275</v>
      </c>
      <c r="AA893" s="36">
        <f t="shared" si="171"/>
        <v>0</v>
      </c>
      <c r="AB893" s="37"/>
      <c r="AC893" s="37">
        <f t="shared" si="172"/>
        <v>0.044275</v>
      </c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>
        <f t="shared" si="170"/>
        <v>0</v>
      </c>
    </row>
    <row r="894" spans="1:48" ht="12.75">
      <c r="A894" s="33" t="s">
        <v>1470</v>
      </c>
      <c r="B894" s="27" t="s">
        <v>41</v>
      </c>
      <c r="C894" s="84" t="s">
        <v>478</v>
      </c>
      <c r="D894" s="155">
        <f>0.282-0.272</f>
        <v>0.009999999999999953</v>
      </c>
      <c r="E894" s="180">
        <v>38231</v>
      </c>
      <c r="F894" s="181">
        <v>38412</v>
      </c>
      <c r="G894" s="155">
        <v>0.005</v>
      </c>
      <c r="H894" s="91">
        <v>0.002</v>
      </c>
      <c r="I894" s="13">
        <v>0</v>
      </c>
      <c r="J894" s="13">
        <v>0</v>
      </c>
      <c r="K894" s="13">
        <v>0</v>
      </c>
      <c r="L894" s="13">
        <v>0</v>
      </c>
      <c r="M894" s="13">
        <f>($D894-$G894)/7</f>
        <v>0.0007142857142857076</v>
      </c>
      <c r="N894" s="13">
        <f aca="true" t="shared" si="177" ref="N894:S894">($D894-$G894)/7</f>
        <v>0.0007142857142857076</v>
      </c>
      <c r="O894" s="13">
        <f t="shared" si="177"/>
        <v>0.0007142857142857076</v>
      </c>
      <c r="P894" s="13">
        <f t="shared" si="177"/>
        <v>0.0007142857142857076</v>
      </c>
      <c r="Q894" s="13">
        <f t="shared" si="177"/>
        <v>0.0007142857142857076</v>
      </c>
      <c r="R894" s="13">
        <f t="shared" si="177"/>
        <v>0.0007142857142857076</v>
      </c>
      <c r="S894" s="13">
        <f t="shared" si="177"/>
        <v>0.0007142857142857076</v>
      </c>
      <c r="T894" s="5">
        <f>SUM(H894:N894)</f>
        <v>0.0034285714285714154</v>
      </c>
      <c r="V894" s="36"/>
      <c r="W894" s="36"/>
      <c r="X894" s="36"/>
      <c r="Y894" s="36">
        <f>0.034-0.034</f>
        <v>0</v>
      </c>
      <c r="Z894" s="36">
        <f>0.079-0.015-0.054</f>
        <v>0.010000000000000002</v>
      </c>
      <c r="AA894" s="36">
        <f t="shared" si="171"/>
        <v>0</v>
      </c>
      <c r="AB894" s="37">
        <f>0.015-0.015</f>
        <v>0</v>
      </c>
      <c r="AC894" s="37">
        <f t="shared" si="172"/>
        <v>0.010000000000000002</v>
      </c>
      <c r="AE894" s="37"/>
      <c r="AF894" s="37"/>
      <c r="AG894" s="37"/>
      <c r="AH894" s="37">
        <f>0.169-0.169</f>
        <v>0</v>
      </c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>
        <f t="shared" si="170"/>
        <v>0</v>
      </c>
      <c r="AV894" s="33" t="s">
        <v>505</v>
      </c>
    </row>
    <row r="895" spans="2:47" ht="12.75">
      <c r="B895" s="27" t="s">
        <v>42</v>
      </c>
      <c r="C895" s="84" t="s">
        <v>479</v>
      </c>
      <c r="D895" s="26"/>
      <c r="E895" s="171"/>
      <c r="F895" s="171"/>
      <c r="G895" s="26">
        <v>0.001014</v>
      </c>
      <c r="H895" s="91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95"/>
      <c r="T895" s="94"/>
      <c r="V895" s="36"/>
      <c r="W895" s="36"/>
      <c r="X895" s="36"/>
      <c r="Y895" s="36"/>
      <c r="Z895" s="36"/>
      <c r="AA895" s="36">
        <f t="shared" si="171"/>
        <v>0</v>
      </c>
      <c r="AB895" s="37"/>
      <c r="AC895" s="37">
        <f t="shared" si="172"/>
        <v>0</v>
      </c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>
        <f t="shared" si="170"/>
        <v>0</v>
      </c>
    </row>
    <row r="896" spans="2:47" ht="12.75">
      <c r="B896" s="27" t="s">
        <v>43</v>
      </c>
      <c r="C896" s="84" t="s">
        <v>44</v>
      </c>
      <c r="D896" s="26"/>
      <c r="E896" s="171"/>
      <c r="F896" s="171"/>
      <c r="G896" s="26">
        <v>0.006</v>
      </c>
      <c r="H896" s="91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95"/>
      <c r="T896" s="94"/>
      <c r="V896" s="36"/>
      <c r="W896" s="36"/>
      <c r="X896" s="36"/>
      <c r="Y896" s="36"/>
      <c r="Z896" s="36"/>
      <c r="AA896" s="36">
        <f t="shared" si="171"/>
        <v>0</v>
      </c>
      <c r="AB896" s="37"/>
      <c r="AC896" s="37">
        <f t="shared" si="172"/>
        <v>0</v>
      </c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</row>
    <row r="897" spans="2:47" ht="12.75">
      <c r="B897" s="27" t="s">
        <v>45</v>
      </c>
      <c r="C897" s="84" t="s">
        <v>46</v>
      </c>
      <c r="D897" s="26">
        <v>0.035</v>
      </c>
      <c r="E897" s="171"/>
      <c r="F897" s="171"/>
      <c r="G897" s="26">
        <v>0.038</v>
      </c>
      <c r="H897" s="91">
        <v>0.041</v>
      </c>
      <c r="I897" s="13">
        <v>0</v>
      </c>
      <c r="J897" s="13">
        <v>0</v>
      </c>
      <c r="K897" s="13">
        <v>0</v>
      </c>
      <c r="L897" s="13">
        <v>0</v>
      </c>
      <c r="M897" s="13">
        <v>0</v>
      </c>
      <c r="N897" s="13">
        <v>0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5">
        <f>SUM(H897:N897)</f>
        <v>0.041</v>
      </c>
      <c r="V897" s="36"/>
      <c r="W897" s="36"/>
      <c r="X897" s="36"/>
      <c r="Y897" s="36"/>
      <c r="Z897" s="36">
        <v>0.035</v>
      </c>
      <c r="AA897" s="36">
        <f t="shared" si="171"/>
        <v>0</v>
      </c>
      <c r="AB897" s="37"/>
      <c r="AC897" s="37">
        <f t="shared" si="172"/>
        <v>0.035</v>
      </c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</row>
    <row r="898" spans="2:47" ht="12.75">
      <c r="B898" s="27" t="s">
        <v>47</v>
      </c>
      <c r="C898" s="84" t="s">
        <v>48</v>
      </c>
      <c r="D898" s="26">
        <v>0.024</v>
      </c>
      <c r="E898" s="171"/>
      <c r="F898" s="171"/>
      <c r="G898" s="26">
        <v>0.022</v>
      </c>
      <c r="H898" s="91">
        <v>0.023</v>
      </c>
      <c r="I898" s="13">
        <v>0</v>
      </c>
      <c r="J898" s="13">
        <v>0</v>
      </c>
      <c r="K898" s="13">
        <v>0</v>
      </c>
      <c r="L898" s="13">
        <v>0</v>
      </c>
      <c r="M898" s="13">
        <v>0</v>
      </c>
      <c r="N898" s="13">
        <v>0</v>
      </c>
      <c r="O898" s="13">
        <v>0</v>
      </c>
      <c r="P898" s="13">
        <v>0</v>
      </c>
      <c r="Q898" s="13">
        <v>0</v>
      </c>
      <c r="R898" s="13">
        <v>0</v>
      </c>
      <c r="S898" s="13">
        <v>0</v>
      </c>
      <c r="T898" s="5">
        <f>SUM(H898:N898)</f>
        <v>0.023</v>
      </c>
      <c r="V898" s="36"/>
      <c r="W898" s="36"/>
      <c r="X898" s="36"/>
      <c r="Y898" s="36"/>
      <c r="Z898" s="36">
        <v>0.024</v>
      </c>
      <c r="AA898" s="36">
        <f t="shared" si="171"/>
        <v>0</v>
      </c>
      <c r="AB898" s="37"/>
      <c r="AC898" s="37">
        <f t="shared" si="172"/>
        <v>0.024</v>
      </c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</row>
    <row r="899" spans="2:48" ht="12.75">
      <c r="B899" s="27" t="s">
        <v>922</v>
      </c>
      <c r="C899" s="84" t="s">
        <v>923</v>
      </c>
      <c r="D899" s="26">
        <v>0.08</v>
      </c>
      <c r="E899" s="173">
        <v>38322</v>
      </c>
      <c r="F899" s="173">
        <v>38384</v>
      </c>
      <c r="G899" s="26"/>
      <c r="H899" s="91"/>
      <c r="I899" s="13"/>
      <c r="J899" s="13"/>
      <c r="K899" s="13"/>
      <c r="L899" s="13"/>
      <c r="M899" s="13"/>
      <c r="N899" s="13"/>
      <c r="O899" s="13"/>
      <c r="P899" s="13">
        <v>0.013</v>
      </c>
      <c r="Q899" s="13">
        <v>0.013</v>
      </c>
      <c r="R899" s="13">
        <v>0.013</v>
      </c>
      <c r="S899" s="13">
        <v>0.013</v>
      </c>
      <c r="T899" s="5">
        <f>SUM(H899:N899)</f>
        <v>0</v>
      </c>
      <c r="V899" s="36"/>
      <c r="W899" s="36"/>
      <c r="X899" s="36"/>
      <c r="Y899" s="36"/>
      <c r="Z899" s="36"/>
      <c r="AA899" s="36">
        <f t="shared" si="171"/>
        <v>0</v>
      </c>
      <c r="AB899" s="37">
        <v>0.08</v>
      </c>
      <c r="AC899" s="37">
        <f t="shared" si="172"/>
        <v>0.08</v>
      </c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3" t="s">
        <v>924</v>
      </c>
    </row>
    <row r="900" spans="2:47" ht="12.75">
      <c r="B900" s="27"/>
      <c r="C900" s="152" t="s">
        <v>482</v>
      </c>
      <c r="D900" s="26"/>
      <c r="E900" s="171"/>
      <c r="F900" s="171"/>
      <c r="G900" s="26"/>
      <c r="H900" s="91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95"/>
      <c r="T900" s="94"/>
      <c r="V900" s="36"/>
      <c r="W900" s="36"/>
      <c r="X900" s="36"/>
      <c r="Y900" s="36"/>
      <c r="Z900" s="36"/>
      <c r="AA900" s="36">
        <f t="shared" si="171"/>
        <v>0</v>
      </c>
      <c r="AB900" s="37"/>
      <c r="AC900" s="37">
        <f t="shared" si="172"/>
        <v>0</v>
      </c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>
        <f t="shared" si="170"/>
        <v>0</v>
      </c>
    </row>
    <row r="901" spans="2:47" ht="12.75">
      <c r="B901" s="27" t="s">
        <v>627</v>
      </c>
      <c r="C901" s="84" t="s">
        <v>628</v>
      </c>
      <c r="D901" s="26"/>
      <c r="E901" s="171"/>
      <c r="F901" s="171"/>
      <c r="G901" s="26">
        <v>0.001</v>
      </c>
      <c r="H901" s="91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95"/>
      <c r="T901" s="94"/>
      <c r="V901" s="36"/>
      <c r="W901" s="36"/>
      <c r="X901" s="36"/>
      <c r="Y901" s="36"/>
      <c r="Z901" s="36"/>
      <c r="AA901" s="36">
        <f t="shared" si="171"/>
        <v>0</v>
      </c>
      <c r="AB901" s="37"/>
      <c r="AC901" s="37">
        <f t="shared" si="172"/>
        <v>0</v>
      </c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</row>
    <row r="902" spans="2:47" ht="12.75">
      <c r="B902" s="27" t="s">
        <v>493</v>
      </c>
      <c r="C902" s="84" t="s">
        <v>629</v>
      </c>
      <c r="D902" s="26"/>
      <c r="E902" s="171"/>
      <c r="F902" s="171"/>
      <c r="G902" s="26">
        <v>0.007</v>
      </c>
      <c r="H902" s="91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95"/>
      <c r="T902" s="94"/>
      <c r="V902" s="36"/>
      <c r="W902" s="36"/>
      <c r="X902" s="36"/>
      <c r="Y902" s="36"/>
      <c r="Z902" s="36"/>
      <c r="AA902" s="36">
        <f t="shared" si="171"/>
        <v>0</v>
      </c>
      <c r="AB902" s="37"/>
      <c r="AC902" s="37">
        <f t="shared" si="172"/>
        <v>0</v>
      </c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</row>
    <row r="903" spans="2:47" ht="12.75">
      <c r="B903" s="27" t="s">
        <v>62</v>
      </c>
      <c r="C903" s="84" t="s">
        <v>630</v>
      </c>
      <c r="D903" s="26"/>
      <c r="E903" s="171"/>
      <c r="F903" s="171"/>
      <c r="G903" s="26">
        <v>0.014</v>
      </c>
      <c r="H903" s="91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95"/>
      <c r="T903" s="94"/>
      <c r="V903" s="36"/>
      <c r="W903" s="36"/>
      <c r="X903" s="36"/>
      <c r="Y903" s="36"/>
      <c r="Z903" s="36"/>
      <c r="AA903" s="36">
        <f t="shared" si="171"/>
        <v>0</v>
      </c>
      <c r="AB903" s="37"/>
      <c r="AC903" s="37">
        <f t="shared" si="172"/>
        <v>0</v>
      </c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</row>
    <row r="904" spans="2:47" ht="12.75">
      <c r="B904" s="27"/>
      <c r="C904" s="152" t="s">
        <v>629</v>
      </c>
      <c r="D904" s="26"/>
      <c r="E904" s="171"/>
      <c r="F904" s="171"/>
      <c r="G904" s="26">
        <f>SUM(G901:G903)</f>
        <v>0.022</v>
      </c>
      <c r="H904" s="91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95"/>
      <c r="T904" s="94"/>
      <c r="V904" s="36"/>
      <c r="W904" s="36"/>
      <c r="X904" s="36"/>
      <c r="Y904" s="36"/>
      <c r="Z904" s="36"/>
      <c r="AA904" s="36">
        <f t="shared" si="171"/>
        <v>0</v>
      </c>
      <c r="AB904" s="37"/>
      <c r="AC904" s="37">
        <f t="shared" si="172"/>
        <v>0</v>
      </c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</row>
    <row r="905" spans="2:47" ht="12.75">
      <c r="B905" s="27" t="s">
        <v>647</v>
      </c>
      <c r="C905" s="84" t="s">
        <v>649</v>
      </c>
      <c r="D905" s="26"/>
      <c r="E905" s="173"/>
      <c r="F905" s="173"/>
      <c r="G905" s="26">
        <v>0.001</v>
      </c>
      <c r="H905" s="91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95"/>
      <c r="T905" s="94"/>
      <c r="V905" s="36"/>
      <c r="W905" s="36"/>
      <c r="X905" s="36"/>
      <c r="Y905" s="36"/>
      <c r="Z905" s="36"/>
      <c r="AA905" s="36">
        <f>SUM(AE905:AT905)</f>
        <v>0</v>
      </c>
      <c r="AB905" s="37"/>
      <c r="AC905" s="37">
        <f>SUM(V905:AB905)</f>
        <v>0</v>
      </c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</row>
    <row r="906" spans="2:47" ht="12.75">
      <c r="B906" s="27" t="s">
        <v>648</v>
      </c>
      <c r="C906" s="84" t="s">
        <v>650</v>
      </c>
      <c r="D906" s="26"/>
      <c r="E906" s="173"/>
      <c r="F906" s="173"/>
      <c r="G906" s="26">
        <v>0.001</v>
      </c>
      <c r="H906" s="91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95"/>
      <c r="T906" s="94"/>
      <c r="V906" s="36"/>
      <c r="W906" s="36"/>
      <c r="X906" s="36"/>
      <c r="Y906" s="36"/>
      <c r="Z906" s="36"/>
      <c r="AA906" s="36">
        <f>SUM(AE906:AT906)</f>
        <v>0</v>
      </c>
      <c r="AB906" s="37"/>
      <c r="AC906" s="37">
        <f>SUM(V906:AB906)</f>
        <v>0</v>
      </c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</row>
    <row r="907" spans="2:47" ht="12.75">
      <c r="B907" s="27" t="s">
        <v>492</v>
      </c>
      <c r="C907" s="84" t="s">
        <v>174</v>
      </c>
      <c r="D907" s="26">
        <v>0.024</v>
      </c>
      <c r="E907" s="180">
        <v>38231</v>
      </c>
      <c r="F907" s="181">
        <v>38412</v>
      </c>
      <c r="G907" s="26"/>
      <c r="H907" s="91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f>$D907/7</f>
        <v>0.003428571428571429</v>
      </c>
      <c r="N907" s="13">
        <f aca="true" t="shared" si="178" ref="N907:S907">$D907/7</f>
        <v>0.003428571428571429</v>
      </c>
      <c r="O907" s="13">
        <f t="shared" si="178"/>
        <v>0.003428571428571429</v>
      </c>
      <c r="P907" s="13">
        <f t="shared" si="178"/>
        <v>0.003428571428571429</v>
      </c>
      <c r="Q907" s="13">
        <f t="shared" si="178"/>
        <v>0.003428571428571429</v>
      </c>
      <c r="R907" s="13">
        <f t="shared" si="178"/>
        <v>0.003428571428571429</v>
      </c>
      <c r="S907" s="13">
        <f t="shared" si="178"/>
        <v>0.003428571428571429</v>
      </c>
      <c r="T907" s="5">
        <f>SUM(H907:N907)</f>
        <v>0.006857142857142858</v>
      </c>
      <c r="V907" s="36"/>
      <c r="W907" s="36"/>
      <c r="X907" s="36"/>
      <c r="Y907" s="36"/>
      <c r="Z907" s="36">
        <v>0.024</v>
      </c>
      <c r="AA907" s="36">
        <f t="shared" si="171"/>
        <v>0</v>
      </c>
      <c r="AB907" s="37"/>
      <c r="AC907" s="37">
        <f t="shared" si="172"/>
        <v>0.024</v>
      </c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>
        <f aca="true" t="shared" si="179" ref="AU907:AU934">SUM(AE907:AT907)</f>
        <v>0</v>
      </c>
    </row>
    <row r="908" spans="2:48" ht="12.75">
      <c r="B908" s="27" t="s">
        <v>49</v>
      </c>
      <c r="C908" s="84" t="s">
        <v>50</v>
      </c>
      <c r="D908" s="26">
        <v>0.076</v>
      </c>
      <c r="E908" s="180">
        <v>38231</v>
      </c>
      <c r="F908" s="181">
        <v>38412</v>
      </c>
      <c r="G908" s="26">
        <v>0.045</v>
      </c>
      <c r="H908" s="91">
        <v>0.044</v>
      </c>
      <c r="I908" s="13">
        <v>0</v>
      </c>
      <c r="J908" s="13">
        <v>0</v>
      </c>
      <c r="K908" s="13">
        <v>0</v>
      </c>
      <c r="L908" s="13">
        <v>0</v>
      </c>
      <c r="M908" s="13">
        <v>0.004571428571428572</v>
      </c>
      <c r="N908" s="13">
        <v>0.004571428571428572</v>
      </c>
      <c r="O908" s="13">
        <v>0.004571428571428572</v>
      </c>
      <c r="P908" s="13">
        <v>0.004571428571428572</v>
      </c>
      <c r="Q908" s="13">
        <v>0.004571428571428572</v>
      </c>
      <c r="R908" s="13">
        <v>0.004571428571428572</v>
      </c>
      <c r="S908" s="13">
        <v>0.004571428571428572</v>
      </c>
      <c r="T908" s="94"/>
      <c r="V908" s="36"/>
      <c r="W908" s="36"/>
      <c r="X908" s="36"/>
      <c r="Y908" s="36"/>
      <c r="Z908" s="36"/>
      <c r="AA908" s="36">
        <f t="shared" si="171"/>
        <v>0</v>
      </c>
      <c r="AB908" s="37">
        <v>0.076</v>
      </c>
      <c r="AC908" s="37">
        <f t="shared" si="172"/>
        <v>0.076</v>
      </c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>
        <f t="shared" si="179"/>
        <v>0</v>
      </c>
      <c r="AV908" s="33" t="s">
        <v>153</v>
      </c>
    </row>
    <row r="909" spans="2:47" ht="12.75" hidden="1">
      <c r="B909" s="27" t="s">
        <v>51</v>
      </c>
      <c r="C909" s="84" t="s">
        <v>52</v>
      </c>
      <c r="D909" s="26"/>
      <c r="E909" s="171"/>
      <c r="F909" s="171"/>
      <c r="G909" s="26">
        <v>0.00084</v>
      </c>
      <c r="H909" s="91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95"/>
      <c r="T909" s="94"/>
      <c r="V909" s="36"/>
      <c r="W909" s="36"/>
      <c r="X909" s="36"/>
      <c r="Y909" s="36"/>
      <c r="Z909" s="36"/>
      <c r="AA909" s="36">
        <f t="shared" si="171"/>
        <v>0</v>
      </c>
      <c r="AB909" s="37"/>
      <c r="AC909" s="37">
        <f t="shared" si="172"/>
        <v>0</v>
      </c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>
        <f t="shared" si="179"/>
        <v>0</v>
      </c>
    </row>
    <row r="910" spans="2:47" ht="12.75" hidden="1">
      <c r="B910" s="27" t="s">
        <v>299</v>
      </c>
      <c r="C910" s="84" t="s">
        <v>300</v>
      </c>
      <c r="D910" s="26"/>
      <c r="E910" s="171"/>
      <c r="F910" s="171"/>
      <c r="G910" s="26">
        <v>0.002</v>
      </c>
      <c r="H910" s="91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95"/>
      <c r="T910" s="94"/>
      <c r="V910" s="36"/>
      <c r="W910" s="36"/>
      <c r="X910" s="36"/>
      <c r="Y910" s="36"/>
      <c r="Z910" s="36"/>
      <c r="AA910" s="36"/>
      <c r="AB910" s="37"/>
      <c r="AC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</row>
    <row r="911" spans="2:47" ht="12.75" hidden="1">
      <c r="B911" s="27" t="s">
        <v>651</v>
      </c>
      <c r="C911" s="84" t="s">
        <v>652</v>
      </c>
      <c r="D911" s="26"/>
      <c r="E911" s="171"/>
      <c r="F911" s="171"/>
      <c r="G911" s="26">
        <v>0.001</v>
      </c>
      <c r="H911" s="91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95"/>
      <c r="T911" s="94"/>
      <c r="V911" s="36"/>
      <c r="W911" s="36"/>
      <c r="X911" s="36"/>
      <c r="Y911" s="36"/>
      <c r="Z911" s="36"/>
      <c r="AA911" s="36">
        <f>SUM(AE911:AT911)</f>
        <v>0</v>
      </c>
      <c r="AB911" s="37"/>
      <c r="AC911" s="37">
        <f>SUM(V911:AB911)</f>
        <v>0</v>
      </c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</row>
    <row r="912" spans="2:47" ht="12.75" hidden="1">
      <c r="B912" s="27" t="s">
        <v>495</v>
      </c>
      <c r="C912" s="84" t="s">
        <v>494</v>
      </c>
      <c r="D912" s="26"/>
      <c r="E912" s="171"/>
      <c r="F912" s="171"/>
      <c r="G912" s="26">
        <v>0.008</v>
      </c>
      <c r="H912" s="91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95"/>
      <c r="T912" s="94"/>
      <c r="V912" s="36"/>
      <c r="W912" s="36"/>
      <c r="X912" s="36"/>
      <c r="Y912" s="36"/>
      <c r="Z912" s="36"/>
      <c r="AA912" s="36">
        <f t="shared" si="171"/>
        <v>0</v>
      </c>
      <c r="AB912" s="37"/>
      <c r="AC912" s="37">
        <f t="shared" si="172"/>
        <v>0</v>
      </c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>
        <f t="shared" si="179"/>
        <v>0</v>
      </c>
    </row>
    <row r="913" spans="2:48" ht="12.75">
      <c r="B913" s="27" t="s">
        <v>53</v>
      </c>
      <c r="C913" s="84" t="s">
        <v>54</v>
      </c>
      <c r="D913" s="26">
        <v>0.064</v>
      </c>
      <c r="E913" s="180">
        <v>38152</v>
      </c>
      <c r="F913" s="181">
        <v>38205</v>
      </c>
      <c r="G913" s="10">
        <v>0.052</v>
      </c>
      <c r="H913" s="91">
        <v>0</v>
      </c>
      <c r="I913" s="13">
        <v>0</v>
      </c>
      <c r="J913" s="13">
        <v>0</v>
      </c>
      <c r="K913" s="13">
        <v>0.027</v>
      </c>
      <c r="L913" s="13">
        <v>0.037</v>
      </c>
      <c r="M913" s="13">
        <v>0</v>
      </c>
      <c r="N913" s="13">
        <v>0</v>
      </c>
      <c r="O913" s="13">
        <v>0</v>
      </c>
      <c r="P913" s="13">
        <v>0</v>
      </c>
      <c r="Q913" s="13">
        <v>0</v>
      </c>
      <c r="R913" s="13">
        <v>0</v>
      </c>
      <c r="S913" s="95">
        <v>0</v>
      </c>
      <c r="T913" s="5">
        <f>SUM(H913:N913)</f>
        <v>0.064</v>
      </c>
      <c r="V913" s="36"/>
      <c r="W913" s="36"/>
      <c r="X913" s="36"/>
      <c r="Y913" s="36"/>
      <c r="Z913" s="36"/>
      <c r="AA913" s="36">
        <f aca="true" t="shared" si="180" ref="AA913:AA932">SUM(AE913:AT913)</f>
        <v>0</v>
      </c>
      <c r="AB913" s="37">
        <v>0.064</v>
      </c>
      <c r="AC913" s="37">
        <f aca="true" t="shared" si="181" ref="AC913:AC933">SUM(V913:AB913)</f>
        <v>0.064</v>
      </c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>
        <f t="shared" si="179"/>
        <v>0</v>
      </c>
      <c r="AV913" s="33" t="s">
        <v>1455</v>
      </c>
    </row>
    <row r="914" spans="2:47" ht="12.75" hidden="1">
      <c r="B914" s="27" t="s">
        <v>496</v>
      </c>
      <c r="C914" s="84" t="s">
        <v>497</v>
      </c>
      <c r="D914" s="26"/>
      <c r="E914" s="171"/>
      <c r="F914" s="171"/>
      <c r="G914" s="26">
        <v>0.016</v>
      </c>
      <c r="H914" s="91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95"/>
      <c r="T914" s="94"/>
      <c r="V914" s="36"/>
      <c r="W914" s="36"/>
      <c r="X914" s="36"/>
      <c r="Y914" s="36"/>
      <c r="Z914" s="36"/>
      <c r="AA914" s="36">
        <f t="shared" si="180"/>
        <v>0</v>
      </c>
      <c r="AB914" s="37"/>
      <c r="AC914" s="37">
        <f t="shared" si="181"/>
        <v>0</v>
      </c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>
        <f t="shared" si="179"/>
        <v>0</v>
      </c>
    </row>
    <row r="915" spans="2:47" ht="12.75" hidden="1">
      <c r="B915" s="27" t="s">
        <v>653</v>
      </c>
      <c r="C915" s="84" t="s">
        <v>654</v>
      </c>
      <c r="D915" s="26"/>
      <c r="E915" s="171"/>
      <c r="F915" s="171"/>
      <c r="G915" s="26">
        <v>0.001</v>
      </c>
      <c r="H915" s="91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95"/>
      <c r="T915" s="94"/>
      <c r="V915" s="36"/>
      <c r="W915" s="36"/>
      <c r="X915" s="36"/>
      <c r="Y915" s="36"/>
      <c r="Z915" s="36"/>
      <c r="AA915" s="36">
        <f>SUM(AE915:AT915)</f>
        <v>0</v>
      </c>
      <c r="AB915" s="37"/>
      <c r="AC915" s="37">
        <f>SUM(V915:AB915)</f>
        <v>0</v>
      </c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</row>
    <row r="916" spans="2:47" ht="12.75" hidden="1">
      <c r="B916" s="27" t="s">
        <v>55</v>
      </c>
      <c r="C916" s="84" t="s">
        <v>56</v>
      </c>
      <c r="D916" s="26"/>
      <c r="E916" s="171"/>
      <c r="F916" s="171"/>
      <c r="G916" s="26">
        <v>2.925E-05</v>
      </c>
      <c r="H916" s="91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95"/>
      <c r="T916" s="94"/>
      <c r="V916" s="36"/>
      <c r="W916" s="36"/>
      <c r="X916" s="36"/>
      <c r="Y916" s="36"/>
      <c r="Z916" s="36"/>
      <c r="AA916" s="36">
        <f t="shared" si="180"/>
        <v>0</v>
      </c>
      <c r="AB916" s="37"/>
      <c r="AC916" s="37">
        <f t="shared" si="181"/>
        <v>0</v>
      </c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>
        <f t="shared" si="179"/>
        <v>0</v>
      </c>
    </row>
    <row r="917" spans="2:47" ht="12.75" hidden="1">
      <c r="B917" s="27" t="s">
        <v>58</v>
      </c>
      <c r="C917" s="84" t="s">
        <v>59</v>
      </c>
      <c r="D917" s="26"/>
      <c r="E917" s="171"/>
      <c r="F917" s="171"/>
      <c r="G917" s="26">
        <v>0.035</v>
      </c>
      <c r="H917" s="91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95"/>
      <c r="T917" s="94"/>
      <c r="V917" s="36"/>
      <c r="W917" s="36"/>
      <c r="X917" s="36"/>
      <c r="Y917" s="36"/>
      <c r="Z917" s="36"/>
      <c r="AA917" s="36">
        <f t="shared" si="180"/>
        <v>0</v>
      </c>
      <c r="AB917" s="37"/>
      <c r="AC917" s="37">
        <f t="shared" si="181"/>
        <v>0</v>
      </c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>
        <f t="shared" si="179"/>
        <v>0</v>
      </c>
    </row>
    <row r="918" spans="2:47" ht="12.75" hidden="1">
      <c r="B918" s="27" t="s">
        <v>499</v>
      </c>
      <c r="C918" s="84" t="s">
        <v>498</v>
      </c>
      <c r="D918" s="26"/>
      <c r="E918" s="171"/>
      <c r="F918" s="171"/>
      <c r="G918" s="26">
        <v>0.01</v>
      </c>
      <c r="H918" s="91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95"/>
      <c r="T918" s="94"/>
      <c r="V918" s="36"/>
      <c r="W918" s="36"/>
      <c r="X918" s="36"/>
      <c r="Y918" s="36"/>
      <c r="Z918" s="36"/>
      <c r="AA918" s="36">
        <f t="shared" si="180"/>
        <v>0</v>
      </c>
      <c r="AB918" s="37"/>
      <c r="AC918" s="37">
        <f t="shared" si="181"/>
        <v>0</v>
      </c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>
        <f t="shared" si="179"/>
        <v>0</v>
      </c>
    </row>
    <row r="919" spans="2:47" ht="12.75" hidden="1">
      <c r="B919" s="27" t="s">
        <v>60</v>
      </c>
      <c r="C919" s="84" t="s">
        <v>61</v>
      </c>
      <c r="D919" s="26"/>
      <c r="E919" s="171"/>
      <c r="F919" s="171"/>
      <c r="G919" s="26">
        <v>-0.001</v>
      </c>
      <c r="H919" s="91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95"/>
      <c r="T919" s="94"/>
      <c r="V919" s="36"/>
      <c r="W919" s="36"/>
      <c r="X919" s="36"/>
      <c r="Y919" s="36"/>
      <c r="Z919" s="36"/>
      <c r="AA919" s="36">
        <f t="shared" si="180"/>
        <v>0</v>
      </c>
      <c r="AB919" s="37"/>
      <c r="AC919" s="37">
        <f t="shared" si="181"/>
        <v>0</v>
      </c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>
        <f t="shared" si="179"/>
        <v>0</v>
      </c>
    </row>
    <row r="920" spans="2:47" ht="12.75" hidden="1">
      <c r="B920" s="27" t="s">
        <v>867</v>
      </c>
      <c r="C920" s="84" t="s">
        <v>868</v>
      </c>
      <c r="D920" s="26"/>
      <c r="E920" s="171"/>
      <c r="F920" s="171"/>
      <c r="G920" s="26">
        <v>0.001</v>
      </c>
      <c r="H920" s="91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95"/>
      <c r="T920" s="94"/>
      <c r="V920" s="36"/>
      <c r="W920" s="36"/>
      <c r="X920" s="36"/>
      <c r="Y920" s="36"/>
      <c r="Z920" s="36"/>
      <c r="AA920" s="36">
        <f>SUM(AE920:AT920)</f>
        <v>0</v>
      </c>
      <c r="AB920" s="37"/>
      <c r="AC920" s="37">
        <f>SUM(V920:AB920)</f>
        <v>0</v>
      </c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</row>
    <row r="921" spans="2:47" ht="12.75" hidden="1">
      <c r="B921" s="27" t="s">
        <v>869</v>
      </c>
      <c r="C921" s="84" t="s">
        <v>870</v>
      </c>
      <c r="D921" s="26"/>
      <c r="E921" s="171"/>
      <c r="F921" s="171"/>
      <c r="G921" s="26">
        <v>0.001</v>
      </c>
      <c r="H921" s="91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95"/>
      <c r="T921" s="94"/>
      <c r="V921" s="36"/>
      <c r="W921" s="36"/>
      <c r="X921" s="36"/>
      <c r="Y921" s="36"/>
      <c r="Z921" s="36"/>
      <c r="AA921" s="36">
        <f>SUM(AE921:AT921)</f>
        <v>0</v>
      </c>
      <c r="AB921" s="37"/>
      <c r="AC921" s="37">
        <f>SUM(V921:AB921)</f>
        <v>0</v>
      </c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</row>
    <row r="922" spans="2:47" ht="12.75" hidden="1">
      <c r="B922" s="27" t="s">
        <v>500</v>
      </c>
      <c r="C922" s="84" t="s">
        <v>501</v>
      </c>
      <c r="D922" s="26"/>
      <c r="E922" s="171"/>
      <c r="F922" s="171"/>
      <c r="G922" s="26">
        <v>0.01</v>
      </c>
      <c r="H922" s="91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95"/>
      <c r="T922" s="94"/>
      <c r="V922" s="36"/>
      <c r="W922" s="36"/>
      <c r="X922" s="36"/>
      <c r="Y922" s="36"/>
      <c r="Z922" s="36"/>
      <c r="AA922" s="36">
        <f t="shared" si="180"/>
        <v>0</v>
      </c>
      <c r="AB922" s="37"/>
      <c r="AC922" s="37">
        <f t="shared" si="181"/>
        <v>0</v>
      </c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>
        <f t="shared" si="179"/>
        <v>0</v>
      </c>
    </row>
    <row r="923" spans="2:47" ht="12.75" hidden="1">
      <c r="B923" s="27" t="s">
        <v>63</v>
      </c>
      <c r="C923" s="84" t="s">
        <v>64</v>
      </c>
      <c r="D923" s="26"/>
      <c r="E923" s="171"/>
      <c r="F923" s="171"/>
      <c r="G923" s="26">
        <v>0.013</v>
      </c>
      <c r="H923" s="91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95"/>
      <c r="T923" s="94"/>
      <c r="V923" s="36"/>
      <c r="W923" s="36"/>
      <c r="X923" s="36"/>
      <c r="Y923" s="36"/>
      <c r="Z923" s="36"/>
      <c r="AA923" s="36">
        <f t="shared" si="180"/>
        <v>0</v>
      </c>
      <c r="AB923" s="37"/>
      <c r="AC923" s="37">
        <f t="shared" si="181"/>
        <v>0</v>
      </c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>
        <f t="shared" si="179"/>
        <v>0</v>
      </c>
    </row>
    <row r="924" spans="2:47" ht="12.75" hidden="1">
      <c r="B924" s="27" t="s">
        <v>65</v>
      </c>
      <c r="C924" s="84" t="s">
        <v>66</v>
      </c>
      <c r="D924" s="26"/>
      <c r="E924" s="171"/>
      <c r="F924" s="171"/>
      <c r="G924" s="26">
        <v>0.004</v>
      </c>
      <c r="H924" s="91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95"/>
      <c r="T924" s="94"/>
      <c r="V924" s="36"/>
      <c r="W924" s="36"/>
      <c r="X924" s="36"/>
      <c r="Y924" s="36"/>
      <c r="Z924" s="36"/>
      <c r="AA924" s="36">
        <f t="shared" si="180"/>
        <v>0</v>
      </c>
      <c r="AB924" s="37"/>
      <c r="AC924" s="37">
        <f t="shared" si="181"/>
        <v>0</v>
      </c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>
        <f t="shared" si="179"/>
        <v>0</v>
      </c>
    </row>
    <row r="925" spans="2:47" ht="12.75" hidden="1">
      <c r="B925" s="27" t="s">
        <v>67</v>
      </c>
      <c r="C925" s="84" t="s">
        <v>68</v>
      </c>
      <c r="D925" s="26"/>
      <c r="E925" s="171"/>
      <c r="F925" s="171"/>
      <c r="G925" s="26">
        <v>0.004</v>
      </c>
      <c r="H925" s="91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95"/>
      <c r="T925" s="94"/>
      <c r="V925" s="36"/>
      <c r="W925" s="36"/>
      <c r="X925" s="36"/>
      <c r="Y925" s="36"/>
      <c r="Z925" s="36"/>
      <c r="AA925" s="36">
        <f t="shared" si="180"/>
        <v>0</v>
      </c>
      <c r="AB925" s="37"/>
      <c r="AC925" s="37">
        <f t="shared" si="181"/>
        <v>0</v>
      </c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>
        <f t="shared" si="179"/>
        <v>0</v>
      </c>
    </row>
    <row r="926" spans="2:47" ht="12.75" hidden="1">
      <c r="B926" s="27" t="s">
        <v>69</v>
      </c>
      <c r="C926" s="84" t="s">
        <v>70</v>
      </c>
      <c r="D926" s="26"/>
      <c r="E926" s="171"/>
      <c r="F926" s="171"/>
      <c r="G926" s="26">
        <v>0.002</v>
      </c>
      <c r="H926" s="91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95"/>
      <c r="T926" s="94"/>
      <c r="V926" s="36"/>
      <c r="W926" s="36"/>
      <c r="X926" s="36"/>
      <c r="Y926" s="36"/>
      <c r="Z926" s="36"/>
      <c r="AA926" s="36">
        <f t="shared" si="180"/>
        <v>0</v>
      </c>
      <c r="AB926" s="37"/>
      <c r="AC926" s="37">
        <f t="shared" si="181"/>
        <v>0</v>
      </c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>
        <f t="shared" si="179"/>
        <v>0</v>
      </c>
    </row>
    <row r="927" spans="2:47" ht="12.75" hidden="1">
      <c r="B927" s="27" t="s">
        <v>502</v>
      </c>
      <c r="C927" s="123" t="s">
        <v>504</v>
      </c>
      <c r="D927" s="26"/>
      <c r="E927" s="171"/>
      <c r="F927" s="171"/>
      <c r="G927" s="26">
        <v>0.003</v>
      </c>
      <c r="H927" s="91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95"/>
      <c r="T927" s="94"/>
      <c r="V927" s="36"/>
      <c r="W927" s="36"/>
      <c r="X927" s="36"/>
      <c r="Y927" s="36"/>
      <c r="Z927" s="36"/>
      <c r="AA927" s="36">
        <f t="shared" si="180"/>
        <v>0</v>
      </c>
      <c r="AB927" s="37"/>
      <c r="AC927" s="37">
        <f t="shared" si="181"/>
        <v>0</v>
      </c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>
        <f t="shared" si="179"/>
        <v>0</v>
      </c>
    </row>
    <row r="928" spans="2:47" ht="12.75" hidden="1">
      <c r="B928" s="27" t="s">
        <v>503</v>
      </c>
      <c r="C928" s="123" t="s">
        <v>506</v>
      </c>
      <c r="D928" s="26"/>
      <c r="E928" s="171"/>
      <c r="F928" s="171"/>
      <c r="G928" s="26">
        <v>0.003</v>
      </c>
      <c r="H928" s="91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95"/>
      <c r="T928" s="94"/>
      <c r="V928" s="36"/>
      <c r="W928" s="36"/>
      <c r="X928" s="36"/>
      <c r="Y928" s="36"/>
      <c r="Z928" s="36"/>
      <c r="AA928" s="36">
        <f t="shared" si="180"/>
        <v>0</v>
      </c>
      <c r="AB928" s="37"/>
      <c r="AC928" s="37">
        <f t="shared" si="181"/>
        <v>0</v>
      </c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>
        <f t="shared" si="179"/>
        <v>0</v>
      </c>
    </row>
    <row r="929" spans="2:47" ht="12.75" hidden="1">
      <c r="B929" s="27" t="s">
        <v>301</v>
      </c>
      <c r="C929" s="123" t="s">
        <v>302</v>
      </c>
      <c r="D929" s="26"/>
      <c r="E929" s="171"/>
      <c r="F929" s="171"/>
      <c r="G929" s="26">
        <v>0.003</v>
      </c>
      <c r="H929" s="91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5"/>
      <c r="V929" s="36"/>
      <c r="W929" s="36"/>
      <c r="X929" s="36"/>
      <c r="Y929" s="36"/>
      <c r="Z929" s="36"/>
      <c r="AA929" s="36"/>
      <c r="AB929" s="37"/>
      <c r="AC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</row>
    <row r="930" spans="2:47" ht="12.75" hidden="1">
      <c r="B930" s="27" t="s">
        <v>154</v>
      </c>
      <c r="C930" s="123" t="s">
        <v>155</v>
      </c>
      <c r="D930" s="26"/>
      <c r="E930" s="171"/>
      <c r="F930" s="171"/>
      <c r="G930" s="26">
        <v>0.008</v>
      </c>
      <c r="H930" s="91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5"/>
      <c r="V930" s="36"/>
      <c r="W930" s="36"/>
      <c r="X930" s="36"/>
      <c r="Y930" s="36"/>
      <c r="Z930" s="36"/>
      <c r="AA930" s="36">
        <f t="shared" si="180"/>
        <v>0</v>
      </c>
      <c r="AB930" s="37"/>
      <c r="AC930" s="37">
        <f t="shared" si="181"/>
        <v>0</v>
      </c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</row>
    <row r="931" spans="2:47" ht="12.75" hidden="1">
      <c r="B931" s="27" t="s">
        <v>303</v>
      </c>
      <c r="C931" s="123" t="s">
        <v>304</v>
      </c>
      <c r="D931" s="26"/>
      <c r="E931" s="171"/>
      <c r="F931" s="171"/>
      <c r="G931" s="26">
        <v>0.001</v>
      </c>
      <c r="H931" s="91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5"/>
      <c r="V931" s="36"/>
      <c r="W931" s="36"/>
      <c r="X931" s="36"/>
      <c r="Y931" s="36"/>
      <c r="Z931" s="36"/>
      <c r="AA931" s="36"/>
      <c r="AB931" s="37"/>
      <c r="AC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</row>
    <row r="932" spans="1:47" ht="12.75">
      <c r="A932" s="33" t="s">
        <v>1176</v>
      </c>
      <c r="B932" s="27"/>
      <c r="C932" s="106" t="s">
        <v>815</v>
      </c>
      <c r="D932" s="26">
        <f>G932-G908-G913</f>
        <v>0.1278692500000001</v>
      </c>
      <c r="E932" s="171"/>
      <c r="F932" s="171"/>
      <c r="G932" s="26">
        <f>SUM(G905:G931)</f>
        <v>0.22486925000000008</v>
      </c>
      <c r="H932" s="91">
        <f>G932</f>
        <v>0.22486925000000008</v>
      </c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5">
        <f>SUM(H932:N932)</f>
        <v>0.22486925000000008</v>
      </c>
      <c r="V932" s="36"/>
      <c r="W932" s="36"/>
      <c r="X932" s="36"/>
      <c r="Y932" s="36"/>
      <c r="Z932" s="36">
        <f>D932</f>
        <v>0.1278692500000001</v>
      </c>
      <c r="AA932" s="36">
        <f t="shared" si="180"/>
        <v>0</v>
      </c>
      <c r="AB932" s="37"/>
      <c r="AC932" s="37">
        <f t="shared" si="181"/>
        <v>0.1278692500000001</v>
      </c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>
        <f t="shared" si="179"/>
        <v>0</v>
      </c>
    </row>
    <row r="933" spans="2:47" ht="12.75">
      <c r="B933" s="33" t="s">
        <v>1144</v>
      </c>
      <c r="C933" s="52" t="s">
        <v>1133</v>
      </c>
      <c r="D933" s="10">
        <f>0.18-0.01</f>
        <v>0.16999999999999998</v>
      </c>
      <c r="E933" s="184"/>
      <c r="F933" s="181"/>
      <c r="G933" s="10">
        <v>0.001</v>
      </c>
      <c r="H933" s="91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95"/>
      <c r="T933" s="94"/>
      <c r="V933" s="36"/>
      <c r="W933" s="36"/>
      <c r="X933" s="36"/>
      <c r="Y933" s="36"/>
      <c r="Z933" s="36">
        <f>0.25-0.07-0.01</f>
        <v>0.16999999999999998</v>
      </c>
      <c r="AA933" s="36">
        <f>SUM(AE933:AT933)</f>
        <v>0</v>
      </c>
      <c r="AB933" s="37"/>
      <c r="AC933" s="37">
        <f t="shared" si="181"/>
        <v>0.16999999999999998</v>
      </c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>
        <f t="shared" si="179"/>
        <v>0</v>
      </c>
    </row>
    <row r="934" spans="2:47" ht="13.5" thickBot="1">
      <c r="B934" s="33" t="s">
        <v>1145</v>
      </c>
      <c r="C934" s="52" t="s">
        <v>1143</v>
      </c>
      <c r="D934" s="31">
        <v>0.5</v>
      </c>
      <c r="E934" s="171"/>
      <c r="F934" s="181"/>
      <c r="G934" s="10"/>
      <c r="H934" s="91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f aca="true" t="shared" si="182" ref="M934:S934">$D933/7</f>
        <v>0.024285714285714282</v>
      </c>
      <c r="N934" s="13">
        <f t="shared" si="182"/>
        <v>0.024285714285714282</v>
      </c>
      <c r="O934" s="13">
        <f t="shared" si="182"/>
        <v>0.024285714285714282</v>
      </c>
      <c r="P934" s="13">
        <f t="shared" si="182"/>
        <v>0.024285714285714282</v>
      </c>
      <c r="Q934" s="13">
        <f t="shared" si="182"/>
        <v>0.024285714285714282</v>
      </c>
      <c r="R934" s="13">
        <f t="shared" si="182"/>
        <v>0.024285714285714282</v>
      </c>
      <c r="S934" s="13">
        <f t="shared" si="182"/>
        <v>0.024285714285714282</v>
      </c>
      <c r="T934" s="5">
        <f>SUM(H934:N934)</f>
        <v>0.048571428571428564</v>
      </c>
      <c r="V934" s="36"/>
      <c r="W934" s="36"/>
      <c r="X934" s="36"/>
      <c r="Y934" s="36"/>
      <c r="Z934" s="36">
        <v>0.5</v>
      </c>
      <c r="AA934" s="36">
        <f>SUM(AE934:AT934)</f>
        <v>0</v>
      </c>
      <c r="AB934" s="37"/>
      <c r="AC934" s="37">
        <f>SUM(V934:AB934)</f>
        <v>0.5</v>
      </c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>
        <f t="shared" si="179"/>
        <v>0</v>
      </c>
    </row>
    <row r="935" spans="3:47" ht="13.5" thickBot="1">
      <c r="C935" s="8" t="s">
        <v>1373</v>
      </c>
      <c r="D935" s="25">
        <f>SUM(D829:D934)</f>
        <v>2.8391442500000004</v>
      </c>
      <c r="E935" s="175"/>
      <c r="F935" s="176"/>
      <c r="G935" s="25">
        <f>SUM(G829:G934)-G932-G904-G893-G879-G873-G851-G844</f>
        <v>0.8424256999999992</v>
      </c>
      <c r="H935" s="98">
        <f aca="true" t="shared" si="183" ref="H935:S935">SUM(H829:H934)</f>
        <v>0.5393109166666668</v>
      </c>
      <c r="I935" s="99">
        <f t="shared" si="183"/>
        <v>0</v>
      </c>
      <c r="J935" s="99">
        <f t="shared" si="183"/>
        <v>0</v>
      </c>
      <c r="K935" s="99">
        <f t="shared" si="183"/>
        <v>0.027</v>
      </c>
      <c r="L935" s="99">
        <f t="shared" si="183"/>
        <v>0.037</v>
      </c>
      <c r="M935" s="99">
        <f t="shared" si="183"/>
        <v>0.2352857142857142</v>
      </c>
      <c r="N935" s="99">
        <f t="shared" si="183"/>
        <v>0.2352857142857142</v>
      </c>
      <c r="O935" s="99">
        <f t="shared" si="183"/>
        <v>0.2352857142857142</v>
      </c>
      <c r="P935" s="99">
        <f t="shared" si="183"/>
        <v>0.24828571428571422</v>
      </c>
      <c r="Q935" s="99">
        <f t="shared" si="183"/>
        <v>0.25828571428571423</v>
      </c>
      <c r="R935" s="99">
        <f t="shared" si="183"/>
        <v>0.2982857142857143</v>
      </c>
      <c r="S935" s="99">
        <f t="shared" si="183"/>
        <v>0.25745238095238093</v>
      </c>
      <c r="T935" s="25">
        <f>SUM(T829:T934)</f>
        <v>1.020739488095238</v>
      </c>
      <c r="V935" s="30">
        <f aca="true" t="shared" si="184" ref="V935:AB935">SUM(V829:V934)</f>
        <v>0</v>
      </c>
      <c r="W935" s="30">
        <f t="shared" si="184"/>
        <v>0</v>
      </c>
      <c r="X935" s="30">
        <f t="shared" si="184"/>
        <v>0</v>
      </c>
      <c r="Y935" s="30">
        <f t="shared" si="184"/>
        <v>0</v>
      </c>
      <c r="Z935" s="30">
        <f t="shared" si="184"/>
        <v>2.22214425</v>
      </c>
      <c r="AA935" s="30">
        <f t="shared" si="184"/>
        <v>0.385</v>
      </c>
      <c r="AB935" s="30">
        <f t="shared" si="184"/>
        <v>0.23199999999999998</v>
      </c>
      <c r="AC935" s="30">
        <f>SUM(V935:AB935)</f>
        <v>2.8391442500000004</v>
      </c>
      <c r="AE935" s="30">
        <f aca="true" t="shared" si="185" ref="AE935:AT935">SUM(AE829:AE934)</f>
        <v>0</v>
      </c>
      <c r="AF935" s="30">
        <f t="shared" si="185"/>
        <v>0</v>
      </c>
      <c r="AG935" s="30">
        <f t="shared" si="185"/>
        <v>0</v>
      </c>
      <c r="AH935" s="30">
        <f t="shared" si="185"/>
        <v>0</v>
      </c>
      <c r="AI935" s="30">
        <f t="shared" si="185"/>
        <v>0</v>
      </c>
      <c r="AJ935" s="30">
        <f t="shared" si="185"/>
        <v>0</v>
      </c>
      <c r="AK935" s="30">
        <f t="shared" si="185"/>
        <v>0</v>
      </c>
      <c r="AL935" s="30">
        <f t="shared" si="185"/>
        <v>0</v>
      </c>
      <c r="AM935" s="30">
        <f t="shared" si="185"/>
        <v>0</v>
      </c>
      <c r="AN935" s="30">
        <f t="shared" si="185"/>
        <v>0.14800000000000002</v>
      </c>
      <c r="AO935" s="30">
        <f t="shared" si="185"/>
        <v>0.054</v>
      </c>
      <c r="AP935" s="30">
        <f t="shared" si="185"/>
        <v>0</v>
      </c>
      <c r="AQ935" s="30">
        <f t="shared" si="185"/>
        <v>0.052</v>
      </c>
      <c r="AR935" s="30">
        <f t="shared" si="185"/>
        <v>0.02</v>
      </c>
      <c r="AS935" s="30">
        <f t="shared" si="185"/>
        <v>0</v>
      </c>
      <c r="AT935" s="30">
        <f t="shared" si="185"/>
        <v>0.111</v>
      </c>
      <c r="AU935" s="40">
        <f>SUM(AE935:AT935)</f>
        <v>0.385</v>
      </c>
    </row>
    <row r="936" spans="3:47" ht="13.5" thickBot="1">
      <c r="C936" s="5"/>
      <c r="D936" s="21"/>
      <c r="F936" s="170"/>
      <c r="G936" s="245"/>
      <c r="H936" s="90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95"/>
      <c r="T936" s="87"/>
      <c r="V936" s="36"/>
      <c r="W936" s="36"/>
      <c r="X936" s="36"/>
      <c r="Y936" s="36"/>
      <c r="Z936" s="36"/>
      <c r="AA936" s="36"/>
      <c r="AB936" s="37"/>
      <c r="AC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</row>
    <row r="937" spans="3:47" ht="13.5" thickBot="1">
      <c r="C937" s="29" t="s">
        <v>1463</v>
      </c>
      <c r="D937" s="25">
        <f>D415+D567+D692+D723+D743+D777+D788+D826+D935</f>
        <v>105.02714424999999</v>
      </c>
      <c r="E937" s="175"/>
      <c r="F937" s="176"/>
      <c r="G937" s="25">
        <f aca="true" t="shared" si="186" ref="G937:T937">G415+G567+G692+G723+G743+G777+G788+G826+G935</f>
        <v>30.41432345</v>
      </c>
      <c r="H937" s="54">
        <f t="shared" si="186"/>
        <v>16.37114425</v>
      </c>
      <c r="I937" s="100">
        <f t="shared" si="186"/>
        <v>0.18691666666666668</v>
      </c>
      <c r="J937" s="100">
        <f t="shared" si="186"/>
        <v>0.23591666666666666</v>
      </c>
      <c r="K937" s="100">
        <f t="shared" si="186"/>
        <v>0.5089166666666667</v>
      </c>
      <c r="L937" s="100">
        <f t="shared" si="186"/>
        <v>3.301616666666666</v>
      </c>
      <c r="M937" s="100">
        <f t="shared" si="186"/>
        <v>10.941730952380954</v>
      </c>
      <c r="N937" s="100">
        <f t="shared" si="186"/>
        <v>10.881730952380954</v>
      </c>
      <c r="O937" s="100">
        <f t="shared" si="186"/>
        <v>10.950782380952383</v>
      </c>
      <c r="P937" s="100">
        <f t="shared" si="186"/>
        <v>10.58170238095238</v>
      </c>
      <c r="Q937" s="100">
        <f t="shared" si="186"/>
        <v>14.02491666666667</v>
      </c>
      <c r="R937" s="100">
        <f t="shared" si="186"/>
        <v>10.525845238095238</v>
      </c>
      <c r="S937" s="100">
        <f t="shared" si="186"/>
        <v>19.20668333333333</v>
      </c>
      <c r="T937" s="25">
        <f t="shared" si="186"/>
        <v>41.78954424999999</v>
      </c>
      <c r="V937" s="248">
        <f aca="true" t="shared" si="187" ref="V937:AC937">V415+V567+V692+V723+V743+V777+V788+V826+V935</f>
        <v>14.425</v>
      </c>
      <c r="W937" s="25">
        <f t="shared" si="187"/>
        <v>8.032</v>
      </c>
      <c r="X937" s="25">
        <f t="shared" si="187"/>
        <v>1.905</v>
      </c>
      <c r="Y937" s="25">
        <f t="shared" si="187"/>
        <v>0.43699999999999994</v>
      </c>
      <c r="Z937" s="25">
        <f t="shared" si="187"/>
        <v>14.44814425</v>
      </c>
      <c r="AA937" s="25">
        <f t="shared" si="187"/>
        <v>47.57399999999999</v>
      </c>
      <c r="AB937" s="25">
        <f t="shared" si="187"/>
        <v>18.206000000000003</v>
      </c>
      <c r="AC937" s="25">
        <f t="shared" si="187"/>
        <v>105.02714424999999</v>
      </c>
      <c r="AE937" s="25">
        <f aca="true" t="shared" si="188" ref="AE937:AU937">AE415+AE567+AE692+AE723+AE743+AE777+AE788+AE826+AE935</f>
        <v>12.761</v>
      </c>
      <c r="AF937" s="25">
        <f t="shared" si="188"/>
        <v>4.928</v>
      </c>
      <c r="AG937" s="25">
        <f t="shared" si="188"/>
        <v>2.59</v>
      </c>
      <c r="AH937" s="25">
        <f t="shared" si="188"/>
        <v>0.947</v>
      </c>
      <c r="AI937" s="25">
        <f t="shared" si="188"/>
        <v>0</v>
      </c>
      <c r="AJ937" s="25">
        <f t="shared" si="188"/>
        <v>2.102</v>
      </c>
      <c r="AK937" s="25">
        <f t="shared" si="188"/>
        <v>0</v>
      </c>
      <c r="AL937" s="25">
        <f t="shared" si="188"/>
        <v>0.73</v>
      </c>
      <c r="AM937" s="25">
        <f t="shared" si="188"/>
        <v>1.6019999999999999</v>
      </c>
      <c r="AN937" s="25">
        <f t="shared" si="188"/>
        <v>0.8009999999999999</v>
      </c>
      <c r="AO937" s="25">
        <f t="shared" si="188"/>
        <v>3.7619999999999996</v>
      </c>
      <c r="AP937" s="25">
        <f t="shared" si="188"/>
        <v>1.062</v>
      </c>
      <c r="AQ937" s="25">
        <f t="shared" si="188"/>
        <v>0.386</v>
      </c>
      <c r="AR937" s="25">
        <f t="shared" si="188"/>
        <v>13.027999999999997</v>
      </c>
      <c r="AS937" s="25">
        <f t="shared" si="188"/>
        <v>0</v>
      </c>
      <c r="AT937" s="25">
        <f t="shared" si="188"/>
        <v>2.1880000000000006</v>
      </c>
      <c r="AU937" s="25">
        <f t="shared" si="188"/>
        <v>46.660999999999994</v>
      </c>
    </row>
    <row r="938" spans="3:47" ht="13.5" thickBot="1">
      <c r="C938" s="220" t="s">
        <v>1539</v>
      </c>
      <c r="D938" s="25"/>
      <c r="E938" s="175"/>
      <c r="F938" s="176"/>
      <c r="G938" s="25"/>
      <c r="H938" s="54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25"/>
      <c r="V938" s="248">
        <f>0.287+0.138</f>
        <v>0.425</v>
      </c>
      <c r="W938" s="25"/>
      <c r="X938" s="25"/>
      <c r="Y938" s="25"/>
      <c r="Z938" s="25">
        <f>-0.287-0.138</f>
        <v>-0.425</v>
      </c>
      <c r="AA938" s="25"/>
      <c r="AB938" s="25"/>
      <c r="AC938" s="30">
        <f>SUM(V938:AB938)</f>
        <v>0</v>
      </c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</row>
    <row r="939" spans="3:47" ht="13.5" thickBot="1">
      <c r="C939" s="220" t="s">
        <v>1464</v>
      </c>
      <c r="D939" s="25">
        <v>2.67</v>
      </c>
      <c r="E939" s="175"/>
      <c r="F939" s="176"/>
      <c r="G939" s="25">
        <v>2.67</v>
      </c>
      <c r="H939" s="54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1"/>
      <c r="T939" s="25">
        <v>2.67</v>
      </c>
      <c r="V939" s="248">
        <f aca="true" t="shared" si="189" ref="V939:AA939">V960</f>
        <v>0</v>
      </c>
      <c r="W939" s="25">
        <f t="shared" si="189"/>
        <v>0</v>
      </c>
      <c r="X939" s="25">
        <f t="shared" si="189"/>
        <v>0</v>
      </c>
      <c r="Y939" s="25">
        <f t="shared" si="189"/>
        <v>0</v>
      </c>
      <c r="Z939" s="25">
        <f t="shared" si="189"/>
        <v>0</v>
      </c>
      <c r="AA939" s="25">
        <f t="shared" si="189"/>
        <v>4.304</v>
      </c>
      <c r="AB939" s="25">
        <f>AB960-0.001</f>
        <v>0.591</v>
      </c>
      <c r="AC939" s="25">
        <f>AC960-0.001</f>
        <v>4.895</v>
      </c>
      <c r="AE939" s="25">
        <f>AE960</f>
        <v>0</v>
      </c>
      <c r="AF939" s="25">
        <f aca="true" t="shared" si="190" ref="AF939:AU939">AF960</f>
        <v>0</v>
      </c>
      <c r="AG939" s="25">
        <f t="shared" si="190"/>
        <v>0</v>
      </c>
      <c r="AH939" s="25">
        <f t="shared" si="190"/>
        <v>0.099</v>
      </c>
      <c r="AI939" s="25">
        <f t="shared" si="190"/>
        <v>0</v>
      </c>
      <c r="AJ939" s="25">
        <f t="shared" si="190"/>
        <v>0</v>
      </c>
      <c r="AK939" s="25">
        <f t="shared" si="190"/>
        <v>0</v>
      </c>
      <c r="AL939" s="25">
        <f t="shared" si="190"/>
        <v>0</v>
      </c>
      <c r="AM939" s="25">
        <f t="shared" si="190"/>
        <v>0</v>
      </c>
      <c r="AN939" s="25">
        <f t="shared" si="190"/>
        <v>0.019</v>
      </c>
      <c r="AO939" s="25">
        <f t="shared" si="190"/>
        <v>0</v>
      </c>
      <c r="AP939" s="25">
        <f t="shared" si="190"/>
        <v>0.266</v>
      </c>
      <c r="AQ939" s="25">
        <f t="shared" si="190"/>
        <v>0.198</v>
      </c>
      <c r="AR939" s="25">
        <f t="shared" si="190"/>
        <v>3.617</v>
      </c>
      <c r="AS939" s="25">
        <f t="shared" si="190"/>
        <v>0</v>
      </c>
      <c r="AT939" s="25">
        <f t="shared" si="190"/>
        <v>0.105</v>
      </c>
      <c r="AU939" s="25">
        <f t="shared" si="190"/>
        <v>4.304</v>
      </c>
    </row>
    <row r="940" spans="3:47" ht="13.5" thickBot="1">
      <c r="C940" s="29" t="s">
        <v>1465</v>
      </c>
      <c r="D940" s="25">
        <f>SUM(D937:D939)</f>
        <v>107.69714425</v>
      </c>
      <c r="E940" s="175"/>
      <c r="F940" s="176"/>
      <c r="G940" s="25">
        <f>SUM(G937:G939)</f>
        <v>33.08432345</v>
      </c>
      <c r="H940" s="54">
        <f>H937</f>
        <v>16.37114425</v>
      </c>
      <c r="I940" s="100">
        <f>I937</f>
        <v>0.18691666666666668</v>
      </c>
      <c r="J940" s="100">
        <f>J937</f>
        <v>0.23591666666666666</v>
      </c>
      <c r="K940" s="100">
        <f aca="true" t="shared" si="191" ref="K940:S940">K937</f>
        <v>0.5089166666666667</v>
      </c>
      <c r="L940" s="100">
        <f t="shared" si="191"/>
        <v>3.301616666666666</v>
      </c>
      <c r="M940" s="100">
        <f t="shared" si="191"/>
        <v>10.941730952380954</v>
      </c>
      <c r="N940" s="100">
        <f t="shared" si="191"/>
        <v>10.881730952380954</v>
      </c>
      <c r="O940" s="100">
        <f t="shared" si="191"/>
        <v>10.950782380952383</v>
      </c>
      <c r="P940" s="100">
        <f t="shared" si="191"/>
        <v>10.58170238095238</v>
      </c>
      <c r="Q940" s="100">
        <f t="shared" si="191"/>
        <v>14.02491666666667</v>
      </c>
      <c r="R940" s="100">
        <f t="shared" si="191"/>
        <v>10.525845238095238</v>
      </c>
      <c r="S940" s="100">
        <f t="shared" si="191"/>
        <v>19.20668333333333</v>
      </c>
      <c r="T940" s="25">
        <f>SUM(T937:T939)</f>
        <v>44.45954424999999</v>
      </c>
      <c r="V940" s="248">
        <f aca="true" t="shared" si="192" ref="V940:AC940">SUM(V937:V939)</f>
        <v>14.850000000000001</v>
      </c>
      <c r="W940" s="25">
        <f t="shared" si="192"/>
        <v>8.032</v>
      </c>
      <c r="X940" s="25">
        <f t="shared" si="192"/>
        <v>1.905</v>
      </c>
      <c r="Y940" s="25">
        <f t="shared" si="192"/>
        <v>0.43699999999999994</v>
      </c>
      <c r="Z940" s="25">
        <f t="shared" si="192"/>
        <v>14.02314425</v>
      </c>
      <c r="AA940" s="25">
        <f t="shared" si="192"/>
        <v>51.87799999999999</v>
      </c>
      <c r="AB940" s="25">
        <f t="shared" si="192"/>
        <v>18.797000000000004</v>
      </c>
      <c r="AC940" s="25">
        <f t="shared" si="192"/>
        <v>109.92214424999999</v>
      </c>
      <c r="AE940" s="25">
        <f aca="true" t="shared" si="193" ref="AE940:AU940">SUM(AE937:AE939)</f>
        <v>12.761</v>
      </c>
      <c r="AF940" s="25">
        <f t="shared" si="193"/>
        <v>4.928</v>
      </c>
      <c r="AG940" s="25">
        <f t="shared" si="193"/>
        <v>2.59</v>
      </c>
      <c r="AH940" s="25">
        <f t="shared" si="193"/>
        <v>1.046</v>
      </c>
      <c r="AI940" s="25">
        <f t="shared" si="193"/>
        <v>0</v>
      </c>
      <c r="AJ940" s="25">
        <f t="shared" si="193"/>
        <v>2.102</v>
      </c>
      <c r="AK940" s="25">
        <f t="shared" si="193"/>
        <v>0</v>
      </c>
      <c r="AL940" s="25">
        <f t="shared" si="193"/>
        <v>0.73</v>
      </c>
      <c r="AM940" s="25">
        <f t="shared" si="193"/>
        <v>1.6019999999999999</v>
      </c>
      <c r="AN940" s="25">
        <f t="shared" si="193"/>
        <v>0.82</v>
      </c>
      <c r="AO940" s="25">
        <f t="shared" si="193"/>
        <v>3.7619999999999996</v>
      </c>
      <c r="AP940" s="25">
        <f t="shared" si="193"/>
        <v>1.328</v>
      </c>
      <c r="AQ940" s="25">
        <f t="shared" si="193"/>
        <v>0.5840000000000001</v>
      </c>
      <c r="AR940" s="25">
        <f t="shared" si="193"/>
        <v>16.644999999999996</v>
      </c>
      <c r="AS940" s="25">
        <f t="shared" si="193"/>
        <v>0</v>
      </c>
      <c r="AT940" s="25">
        <f t="shared" si="193"/>
        <v>2.2930000000000006</v>
      </c>
      <c r="AU940" s="25">
        <f t="shared" si="193"/>
        <v>50.964999999999996</v>
      </c>
    </row>
    <row r="941" spans="3:47" ht="12.75" hidden="1">
      <c r="C941" s="220"/>
      <c r="D941" s="253"/>
      <c r="F941" s="185"/>
      <c r="G941" s="11"/>
      <c r="H941" s="6"/>
      <c r="V941" s="11"/>
      <c r="W941" s="11"/>
      <c r="X941" s="11"/>
      <c r="Y941" s="11"/>
      <c r="Z941" s="11"/>
      <c r="AA941" s="11"/>
      <c r="AB941" s="11"/>
      <c r="AC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</row>
    <row r="942" spans="3:47" ht="12.75" hidden="1">
      <c r="C942" s="220"/>
      <c r="D942" s="11"/>
      <c r="E942" s="185"/>
      <c r="F942" s="185"/>
      <c r="G942" s="11"/>
      <c r="H942" s="6"/>
      <c r="V942" s="11"/>
      <c r="W942" s="11"/>
      <c r="X942" s="11"/>
      <c r="Y942" s="11"/>
      <c r="Z942" s="11"/>
      <c r="AA942" s="11"/>
      <c r="AB942" s="11"/>
      <c r="AC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</row>
    <row r="943" spans="3:47" ht="12.75" hidden="1">
      <c r="C943" s="220"/>
      <c r="D943" s="11"/>
      <c r="E943" s="185"/>
      <c r="F943" s="185"/>
      <c r="G943" s="11"/>
      <c r="H943" s="6"/>
      <c r="V943" s="11"/>
      <c r="W943" s="11"/>
      <c r="X943" s="11"/>
      <c r="Y943" s="11"/>
      <c r="Z943" s="11"/>
      <c r="AA943" s="11"/>
      <c r="AB943" s="11"/>
      <c r="AC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</row>
    <row r="944" spans="3:47" ht="13.5" hidden="1" thickBot="1">
      <c r="C944" s="220" t="s">
        <v>443</v>
      </c>
      <c r="D944" s="11"/>
      <c r="E944" s="185"/>
      <c r="F944" s="185"/>
      <c r="G944" s="11"/>
      <c r="H944" s="6"/>
      <c r="V944" s="11"/>
      <c r="W944" s="11"/>
      <c r="X944" s="11"/>
      <c r="Y944" s="11"/>
      <c r="Z944" s="11"/>
      <c r="AA944" s="11"/>
      <c r="AB944" s="11"/>
      <c r="AC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</row>
    <row r="945" spans="3:47" ht="12.75" hidden="1">
      <c r="C945" s="161" t="s">
        <v>1406</v>
      </c>
      <c r="D945" s="162"/>
      <c r="E945" s="186"/>
      <c r="F945" s="148"/>
      <c r="G945" s="163"/>
      <c r="H945" s="127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128"/>
      <c r="U945" s="105"/>
      <c r="V945" s="133"/>
      <c r="W945" s="128"/>
      <c r="X945" s="128"/>
      <c r="Y945" s="128"/>
      <c r="Z945" s="128"/>
      <c r="AA945" s="38">
        <f aca="true" t="shared" si="194" ref="AA945:AA959">SUM(AE945:AT945)</f>
        <v>3.617</v>
      </c>
      <c r="AB945" s="128"/>
      <c r="AC945" s="139">
        <f>SUM(V945:AB945)</f>
        <v>3.617</v>
      </c>
      <c r="AE945" s="141"/>
      <c r="AF945" s="142"/>
      <c r="AG945" s="142"/>
      <c r="AH945" s="142"/>
      <c r="AI945" s="142"/>
      <c r="AJ945" s="142"/>
      <c r="AK945" s="142"/>
      <c r="AL945" s="142"/>
      <c r="AM945" s="142"/>
      <c r="AN945" s="142"/>
      <c r="AO945" s="142"/>
      <c r="AP945" s="142"/>
      <c r="AQ945" s="142"/>
      <c r="AR945" s="164">
        <v>3.617</v>
      </c>
      <c r="AS945" s="142"/>
      <c r="AT945" s="142"/>
      <c r="AU945" s="134">
        <f>SUM(AE945:AT945)</f>
        <v>3.617</v>
      </c>
    </row>
    <row r="946" spans="3:47" ht="12.75" hidden="1">
      <c r="C946" s="123" t="s">
        <v>1395</v>
      </c>
      <c r="D946" s="153"/>
      <c r="E946" s="187"/>
      <c r="F946" s="178"/>
      <c r="G946" s="165"/>
      <c r="H946" s="33"/>
      <c r="U946" s="87"/>
      <c r="V946" s="53"/>
      <c r="W946" s="11"/>
      <c r="X946" s="11"/>
      <c r="Y946" s="11"/>
      <c r="Z946" s="11"/>
      <c r="AA946" s="36">
        <f t="shared" si="194"/>
        <v>0.198</v>
      </c>
      <c r="AB946" s="11"/>
      <c r="AC946" s="26">
        <f aca="true" t="shared" si="195" ref="AC946:AC959">SUM(V946:AB946)</f>
        <v>0.198</v>
      </c>
      <c r="AE946" s="143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37">
        <v>0.198</v>
      </c>
      <c r="AR946" s="19"/>
      <c r="AS946" s="19"/>
      <c r="AT946" s="19"/>
      <c r="AU946" s="135">
        <f aca="true" t="shared" si="196" ref="AU946:AU959">SUM(AE946:AT946)</f>
        <v>0.198</v>
      </c>
    </row>
    <row r="947" spans="3:47" ht="12.75" hidden="1">
      <c r="C947" s="123" t="s">
        <v>444</v>
      </c>
      <c r="D947" s="153"/>
      <c r="E947" s="187"/>
      <c r="F947" s="178"/>
      <c r="G947" s="165"/>
      <c r="H947" s="33"/>
      <c r="U947" s="87"/>
      <c r="V947" s="53"/>
      <c r="W947" s="11"/>
      <c r="X947" s="11"/>
      <c r="Y947" s="11"/>
      <c r="Z947" s="11"/>
      <c r="AA947" s="36">
        <f t="shared" si="194"/>
        <v>0.02</v>
      </c>
      <c r="AB947" s="11"/>
      <c r="AC947" s="26">
        <f t="shared" si="195"/>
        <v>0.02</v>
      </c>
      <c r="AE947" s="143"/>
      <c r="AF947" s="19"/>
      <c r="AG947" s="19"/>
      <c r="AH947" s="37">
        <v>0.02</v>
      </c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35">
        <f t="shared" si="196"/>
        <v>0.02</v>
      </c>
    </row>
    <row r="948" spans="3:47" ht="12.75" hidden="1">
      <c r="C948" s="123" t="s">
        <v>1346</v>
      </c>
      <c r="D948" s="153"/>
      <c r="E948" s="187"/>
      <c r="F948" s="178"/>
      <c r="G948" s="165"/>
      <c r="H948" s="33"/>
      <c r="U948" s="87"/>
      <c r="V948" s="53"/>
      <c r="W948" s="11"/>
      <c r="X948" s="11"/>
      <c r="Y948" s="11"/>
      <c r="Z948" s="11"/>
      <c r="AA948" s="36">
        <f t="shared" si="194"/>
        <v>0.019</v>
      </c>
      <c r="AB948" s="11"/>
      <c r="AC948" s="26">
        <f t="shared" si="195"/>
        <v>0.019</v>
      </c>
      <c r="AE948" s="143"/>
      <c r="AF948" s="19"/>
      <c r="AG948" s="19"/>
      <c r="AH948" s="19"/>
      <c r="AI948" s="19"/>
      <c r="AJ948" s="19"/>
      <c r="AK948" s="19"/>
      <c r="AL948" s="19"/>
      <c r="AM948" s="19"/>
      <c r="AN948" s="37">
        <v>0.019</v>
      </c>
      <c r="AO948" s="19"/>
      <c r="AP948" s="19"/>
      <c r="AQ948" s="19"/>
      <c r="AR948" s="19"/>
      <c r="AS948" s="19"/>
      <c r="AT948" s="19"/>
      <c r="AU948" s="135">
        <f t="shared" si="196"/>
        <v>0.019</v>
      </c>
    </row>
    <row r="949" spans="3:47" ht="12.75" hidden="1">
      <c r="C949" s="123" t="s">
        <v>445</v>
      </c>
      <c r="D949" s="153"/>
      <c r="E949" s="187"/>
      <c r="F949" s="178"/>
      <c r="G949" s="165"/>
      <c r="H949" s="33"/>
      <c r="U949" s="87"/>
      <c r="V949" s="53"/>
      <c r="W949" s="11"/>
      <c r="X949" s="11"/>
      <c r="Y949" s="11"/>
      <c r="Z949" s="11"/>
      <c r="AA949" s="36">
        <f t="shared" si="194"/>
        <v>0</v>
      </c>
      <c r="AB949" s="33">
        <v>0.176</v>
      </c>
      <c r="AC949" s="26">
        <f t="shared" si="195"/>
        <v>0.176</v>
      </c>
      <c r="AE949" s="143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35">
        <f t="shared" si="196"/>
        <v>0</v>
      </c>
    </row>
    <row r="950" spans="3:47" ht="12.75" hidden="1">
      <c r="C950" s="123" t="s">
        <v>446</v>
      </c>
      <c r="D950" s="153"/>
      <c r="E950" s="187"/>
      <c r="F950" s="178"/>
      <c r="G950" s="165"/>
      <c r="H950" s="33"/>
      <c r="U950" s="87"/>
      <c r="V950" s="53"/>
      <c r="W950" s="11"/>
      <c r="X950" s="11"/>
      <c r="Y950" s="11"/>
      <c r="Z950" s="11"/>
      <c r="AA950" s="36">
        <f t="shared" si="194"/>
        <v>0</v>
      </c>
      <c r="AB950" s="33">
        <v>0.262</v>
      </c>
      <c r="AC950" s="26">
        <f t="shared" si="195"/>
        <v>0.262</v>
      </c>
      <c r="AE950" s="143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35">
        <f t="shared" si="196"/>
        <v>0</v>
      </c>
    </row>
    <row r="951" spans="3:47" ht="12.75" hidden="1">
      <c r="C951" s="123" t="s">
        <v>447</v>
      </c>
      <c r="D951" s="153"/>
      <c r="E951" s="187"/>
      <c r="F951" s="178"/>
      <c r="G951" s="165"/>
      <c r="H951" s="33"/>
      <c r="U951" s="87"/>
      <c r="V951" s="53"/>
      <c r="W951" s="11"/>
      <c r="X951" s="11"/>
      <c r="Y951" s="11"/>
      <c r="Z951" s="11"/>
      <c r="AA951" s="36">
        <f t="shared" si="194"/>
        <v>0.017</v>
      </c>
      <c r="AB951" s="11"/>
      <c r="AC951" s="26">
        <f t="shared" si="195"/>
        <v>0.017</v>
      </c>
      <c r="AE951" s="143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37">
        <v>0.017</v>
      </c>
      <c r="AU951" s="135">
        <f t="shared" si="196"/>
        <v>0.017</v>
      </c>
    </row>
    <row r="952" spans="3:47" ht="12.75" hidden="1">
      <c r="C952" s="123" t="s">
        <v>448</v>
      </c>
      <c r="D952" s="153"/>
      <c r="E952" s="187"/>
      <c r="F952" s="178"/>
      <c r="G952" s="165"/>
      <c r="H952" s="33"/>
      <c r="U952" s="87"/>
      <c r="V952" s="53"/>
      <c r="W952" s="11"/>
      <c r="X952" s="11"/>
      <c r="Y952" s="11"/>
      <c r="Z952" s="11"/>
      <c r="AA952" s="36">
        <f t="shared" si="194"/>
        <v>0.079</v>
      </c>
      <c r="AB952" s="11"/>
      <c r="AC952" s="26">
        <f t="shared" si="195"/>
        <v>0.079</v>
      </c>
      <c r="AE952" s="143"/>
      <c r="AF952" s="19"/>
      <c r="AG952" s="19"/>
      <c r="AH952" s="37">
        <v>0.079</v>
      </c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35">
        <f t="shared" si="196"/>
        <v>0.079</v>
      </c>
    </row>
    <row r="953" spans="3:47" ht="12.75" hidden="1">
      <c r="C953" s="123" t="s">
        <v>449</v>
      </c>
      <c r="D953" s="153"/>
      <c r="E953" s="187"/>
      <c r="F953" s="178"/>
      <c r="G953" s="165"/>
      <c r="H953" s="33"/>
      <c r="U953" s="87"/>
      <c r="V953" s="53"/>
      <c r="W953" s="11"/>
      <c r="X953" s="11"/>
      <c r="Y953" s="11"/>
      <c r="Z953" s="11"/>
      <c r="AA953" s="36">
        <f t="shared" si="194"/>
        <v>0.021</v>
      </c>
      <c r="AB953" s="11"/>
      <c r="AC953" s="26">
        <f t="shared" si="195"/>
        <v>0.021</v>
      </c>
      <c r="AE953" s="143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37">
        <v>0.021</v>
      </c>
      <c r="AQ953" s="19"/>
      <c r="AR953" s="19"/>
      <c r="AS953" s="19"/>
      <c r="AT953" s="19"/>
      <c r="AU953" s="135">
        <f t="shared" si="196"/>
        <v>0.021</v>
      </c>
    </row>
    <row r="954" spans="3:47" ht="12.75" hidden="1">
      <c r="C954" s="123" t="s">
        <v>382</v>
      </c>
      <c r="D954" s="153"/>
      <c r="E954" s="187"/>
      <c r="F954" s="178"/>
      <c r="G954" s="165"/>
      <c r="H954" s="33"/>
      <c r="U954" s="87"/>
      <c r="V954" s="53"/>
      <c r="W954" s="11"/>
      <c r="X954" s="11"/>
      <c r="Y954" s="11"/>
      <c r="Z954" s="11"/>
      <c r="AA954" s="36"/>
      <c r="AB954" s="6">
        <v>0.005</v>
      </c>
      <c r="AC954" s="26">
        <f t="shared" si="195"/>
        <v>0.005</v>
      </c>
      <c r="AE954" s="143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37"/>
      <c r="AQ954" s="19"/>
      <c r="AR954" s="19"/>
      <c r="AS954" s="19"/>
      <c r="AT954" s="19"/>
      <c r="AU954" s="135"/>
    </row>
    <row r="955" spans="3:47" ht="12.75" hidden="1">
      <c r="C955" s="123" t="s">
        <v>450</v>
      </c>
      <c r="D955" s="153"/>
      <c r="E955" s="187"/>
      <c r="F955" s="178"/>
      <c r="G955" s="165"/>
      <c r="H955" s="33"/>
      <c r="U955" s="87"/>
      <c r="V955" s="53"/>
      <c r="W955" s="11"/>
      <c r="X955" s="11"/>
      <c r="Y955" s="11"/>
      <c r="Z955" s="11"/>
      <c r="AA955" s="36">
        <f t="shared" si="194"/>
        <v>0.012</v>
      </c>
      <c r="AB955" s="11"/>
      <c r="AC955" s="26">
        <f t="shared" si="195"/>
        <v>0.012</v>
      </c>
      <c r="AE955" s="143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37">
        <v>0.012</v>
      </c>
      <c r="AQ955" s="19"/>
      <c r="AR955" s="19"/>
      <c r="AS955" s="19"/>
      <c r="AT955" s="19"/>
      <c r="AU955" s="135">
        <f t="shared" si="196"/>
        <v>0.012</v>
      </c>
    </row>
    <row r="956" spans="3:47" ht="12.75" hidden="1">
      <c r="C956" s="123" t="s">
        <v>436</v>
      </c>
      <c r="D956" s="153"/>
      <c r="E956" s="187"/>
      <c r="F956" s="178"/>
      <c r="G956" s="165"/>
      <c r="H956" s="33"/>
      <c r="U956" s="87"/>
      <c r="V956" s="53"/>
      <c r="W956" s="11"/>
      <c r="X956" s="11"/>
      <c r="Y956" s="11"/>
      <c r="Z956" s="11"/>
      <c r="AA956" s="36">
        <f t="shared" si="194"/>
        <v>0.233</v>
      </c>
      <c r="AB956" s="11"/>
      <c r="AC956" s="26">
        <f t="shared" si="195"/>
        <v>0.233</v>
      </c>
      <c r="AE956" s="143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37">
        <v>0.233</v>
      </c>
      <c r="AQ956" s="19"/>
      <c r="AR956" s="19"/>
      <c r="AS956" s="19"/>
      <c r="AT956" s="19"/>
      <c r="AU956" s="135">
        <f t="shared" si="196"/>
        <v>0.233</v>
      </c>
    </row>
    <row r="957" spans="3:47" ht="12.75" hidden="1">
      <c r="C957" s="123" t="s">
        <v>451</v>
      </c>
      <c r="D957" s="153"/>
      <c r="E957" s="187"/>
      <c r="F957" s="178"/>
      <c r="G957" s="165"/>
      <c r="H957" s="33"/>
      <c r="U957" s="87"/>
      <c r="V957" s="53"/>
      <c r="W957" s="11"/>
      <c r="X957" s="11"/>
      <c r="Y957" s="11"/>
      <c r="Z957" s="11"/>
      <c r="AA957" s="36">
        <f t="shared" si="194"/>
        <v>0.088</v>
      </c>
      <c r="AB957" s="11"/>
      <c r="AC957" s="26">
        <f t="shared" si="195"/>
        <v>0.088</v>
      </c>
      <c r="AE957" s="143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37">
        <v>0.088</v>
      </c>
      <c r="AU957" s="135">
        <f t="shared" si="196"/>
        <v>0.088</v>
      </c>
    </row>
    <row r="958" spans="3:47" ht="12.75" hidden="1">
      <c r="C958" s="123" t="s">
        <v>452</v>
      </c>
      <c r="D958" s="153"/>
      <c r="E958" s="187"/>
      <c r="F958" s="178"/>
      <c r="G958" s="165"/>
      <c r="H958" s="33"/>
      <c r="U958" s="87"/>
      <c r="V958" s="53"/>
      <c r="W958" s="11"/>
      <c r="X958" s="11"/>
      <c r="Y958" s="11"/>
      <c r="Z958" s="11"/>
      <c r="AA958" s="36">
        <f t="shared" si="194"/>
        <v>0</v>
      </c>
      <c r="AB958" s="33">
        <v>0.146</v>
      </c>
      <c r="AC958" s="26">
        <f t="shared" si="195"/>
        <v>0.146</v>
      </c>
      <c r="AE958" s="143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35">
        <f t="shared" si="196"/>
        <v>0</v>
      </c>
    </row>
    <row r="959" spans="3:47" ht="13.5" hidden="1" thickBot="1">
      <c r="C959" s="166" t="s">
        <v>453</v>
      </c>
      <c r="D959" s="167"/>
      <c r="E959" s="188"/>
      <c r="F959" s="189"/>
      <c r="G959" s="168"/>
      <c r="H959" s="129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1"/>
      <c r="U959" s="132"/>
      <c r="V959" s="136"/>
      <c r="W959" s="131"/>
      <c r="X959" s="131"/>
      <c r="Y959" s="131"/>
      <c r="Z959" s="131"/>
      <c r="AA959" s="137">
        <f t="shared" si="194"/>
        <v>0</v>
      </c>
      <c r="AB959" s="129">
        <v>0.003</v>
      </c>
      <c r="AC959" s="140">
        <f t="shared" si="195"/>
        <v>0.003</v>
      </c>
      <c r="AE959" s="144"/>
      <c r="AF959" s="145"/>
      <c r="AG959" s="145"/>
      <c r="AH959" s="145"/>
      <c r="AI959" s="145"/>
      <c r="AJ959" s="145"/>
      <c r="AK959" s="145"/>
      <c r="AL959" s="145"/>
      <c r="AM959" s="145"/>
      <c r="AN959" s="145"/>
      <c r="AO959" s="145"/>
      <c r="AP959" s="145"/>
      <c r="AQ959" s="145"/>
      <c r="AR959" s="145"/>
      <c r="AS959" s="145"/>
      <c r="AT959" s="145"/>
      <c r="AU959" s="138">
        <f t="shared" si="196"/>
        <v>0</v>
      </c>
    </row>
    <row r="960" spans="3:47" ht="12.75" hidden="1">
      <c r="C960" s="126" t="s">
        <v>1351</v>
      </c>
      <c r="D960" s="11"/>
      <c r="E960" s="185"/>
      <c r="F960" s="185"/>
      <c r="G960" s="11"/>
      <c r="H960" s="6"/>
      <c r="V960" s="11">
        <f aca="true" t="shared" si="197" ref="V960:AB960">SUM(V945:V959)</f>
        <v>0</v>
      </c>
      <c r="W960" s="11">
        <f t="shared" si="197"/>
        <v>0</v>
      </c>
      <c r="X960" s="11">
        <f t="shared" si="197"/>
        <v>0</v>
      </c>
      <c r="Y960" s="11">
        <f t="shared" si="197"/>
        <v>0</v>
      </c>
      <c r="Z960" s="11">
        <f t="shared" si="197"/>
        <v>0</v>
      </c>
      <c r="AA960" s="11">
        <f t="shared" si="197"/>
        <v>4.304</v>
      </c>
      <c r="AB960" s="11">
        <f t="shared" si="197"/>
        <v>0.592</v>
      </c>
      <c r="AC960" s="11">
        <f>ROUND(SUM(AC945:AC959),3)</f>
        <v>4.896</v>
      </c>
      <c r="AE960" s="11">
        <f>SUM(AE945:AE959)</f>
        <v>0</v>
      </c>
      <c r="AF960" s="11">
        <f aca="true" t="shared" si="198" ref="AF960:AU960">SUM(AF945:AF959)</f>
        <v>0</v>
      </c>
      <c r="AG960" s="11">
        <f t="shared" si="198"/>
        <v>0</v>
      </c>
      <c r="AH960" s="11">
        <f t="shared" si="198"/>
        <v>0.099</v>
      </c>
      <c r="AI960" s="11">
        <f t="shared" si="198"/>
        <v>0</v>
      </c>
      <c r="AJ960" s="11">
        <f t="shared" si="198"/>
        <v>0</v>
      </c>
      <c r="AK960" s="11">
        <f t="shared" si="198"/>
        <v>0</v>
      </c>
      <c r="AL960" s="11">
        <f t="shared" si="198"/>
        <v>0</v>
      </c>
      <c r="AM960" s="11">
        <f t="shared" si="198"/>
        <v>0</v>
      </c>
      <c r="AN960" s="11">
        <f t="shared" si="198"/>
        <v>0.019</v>
      </c>
      <c r="AO960" s="11">
        <f t="shared" si="198"/>
        <v>0</v>
      </c>
      <c r="AP960" s="11">
        <f t="shared" si="198"/>
        <v>0.266</v>
      </c>
      <c r="AQ960" s="11">
        <f t="shared" si="198"/>
        <v>0.198</v>
      </c>
      <c r="AR960" s="11">
        <f t="shared" si="198"/>
        <v>3.617</v>
      </c>
      <c r="AS960" s="11">
        <f t="shared" si="198"/>
        <v>0</v>
      </c>
      <c r="AT960" s="11">
        <f t="shared" si="198"/>
        <v>0.105</v>
      </c>
      <c r="AU960" s="11">
        <f t="shared" si="198"/>
        <v>4.304</v>
      </c>
    </row>
    <row r="961" spans="3:47" ht="12.75" hidden="1">
      <c r="C961" s="126"/>
      <c r="D961" s="11"/>
      <c r="E961" s="185"/>
      <c r="F961" s="185"/>
      <c r="G961" s="11"/>
      <c r="H961" s="6"/>
      <c r="V961" s="11"/>
      <c r="W961" s="11"/>
      <c r="X961" s="11"/>
      <c r="Y961" s="11"/>
      <c r="Z961" s="11"/>
      <c r="AA961" s="11"/>
      <c r="AB961" s="11"/>
      <c r="AC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</row>
    <row r="962" spans="3:47" ht="12.75" hidden="1">
      <c r="C962" s="126"/>
      <c r="D962" s="11"/>
      <c r="E962" s="185"/>
      <c r="F962" s="185"/>
      <c r="G962" s="11"/>
      <c r="H962" s="6"/>
      <c r="V962" s="11"/>
      <c r="W962" s="11"/>
      <c r="X962" s="11"/>
      <c r="Y962" s="11"/>
      <c r="Z962" s="11"/>
      <c r="AA962" s="11"/>
      <c r="AB962" s="11"/>
      <c r="AC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</row>
    <row r="963" spans="3:47" ht="18" customHeight="1" hidden="1">
      <c r="C963" s="126" t="s">
        <v>454</v>
      </c>
      <c r="D963" s="11">
        <f>AC963</f>
        <v>109.92314424999999</v>
      </c>
      <c r="E963" s="185"/>
      <c r="F963" s="185"/>
      <c r="G963" s="11"/>
      <c r="H963" s="6"/>
      <c r="V963" s="11">
        <f aca="true" t="shared" si="199" ref="V963:AC963">V960+V937</f>
        <v>14.425</v>
      </c>
      <c r="W963" s="11">
        <f t="shared" si="199"/>
        <v>8.032</v>
      </c>
      <c r="X963" s="11">
        <f t="shared" si="199"/>
        <v>1.905</v>
      </c>
      <c r="Y963" s="11">
        <f t="shared" si="199"/>
        <v>0.43699999999999994</v>
      </c>
      <c r="Z963" s="11">
        <f t="shared" si="199"/>
        <v>14.44814425</v>
      </c>
      <c r="AA963" s="11">
        <f t="shared" si="199"/>
        <v>51.87799999999999</v>
      </c>
      <c r="AB963" s="11">
        <f t="shared" si="199"/>
        <v>18.798000000000002</v>
      </c>
      <c r="AC963" s="11">
        <f t="shared" si="199"/>
        <v>109.92314424999999</v>
      </c>
      <c r="AE963" s="11">
        <f aca="true" t="shared" si="200" ref="AE963:AU963">AE960+AE937</f>
        <v>12.761</v>
      </c>
      <c r="AF963" s="11">
        <f t="shared" si="200"/>
        <v>4.928</v>
      </c>
      <c r="AG963" s="11">
        <f t="shared" si="200"/>
        <v>2.59</v>
      </c>
      <c r="AH963" s="11">
        <f t="shared" si="200"/>
        <v>1.046</v>
      </c>
      <c r="AI963" s="11">
        <f t="shared" si="200"/>
        <v>0</v>
      </c>
      <c r="AJ963" s="11">
        <f t="shared" si="200"/>
        <v>2.102</v>
      </c>
      <c r="AK963" s="11">
        <f t="shared" si="200"/>
        <v>0</v>
      </c>
      <c r="AL963" s="11">
        <f t="shared" si="200"/>
        <v>0.73</v>
      </c>
      <c r="AM963" s="11">
        <f t="shared" si="200"/>
        <v>1.6019999999999999</v>
      </c>
      <c r="AN963" s="11">
        <f t="shared" si="200"/>
        <v>0.82</v>
      </c>
      <c r="AO963" s="11">
        <f t="shared" si="200"/>
        <v>3.7619999999999996</v>
      </c>
      <c r="AP963" s="11">
        <f t="shared" si="200"/>
        <v>1.328</v>
      </c>
      <c r="AQ963" s="11">
        <f t="shared" si="200"/>
        <v>0.5840000000000001</v>
      </c>
      <c r="AR963" s="11">
        <f t="shared" si="200"/>
        <v>16.644999999999996</v>
      </c>
      <c r="AS963" s="11">
        <f t="shared" si="200"/>
        <v>0</v>
      </c>
      <c r="AT963" s="11">
        <f t="shared" si="200"/>
        <v>2.2930000000000006</v>
      </c>
      <c r="AU963" s="11">
        <f t="shared" si="200"/>
        <v>50.964999999999996</v>
      </c>
    </row>
    <row r="964" spans="3:47" ht="12.75" hidden="1">
      <c r="C964" s="126" t="s">
        <v>455</v>
      </c>
      <c r="D964" s="11" t="e">
        <f>#REF!</f>
        <v>#REF!</v>
      </c>
      <c r="E964" s="185"/>
      <c r="F964" s="185"/>
      <c r="G964" s="11"/>
      <c r="H964" s="6"/>
      <c r="V964" s="11"/>
      <c r="W964" s="11"/>
      <c r="X964" s="11"/>
      <c r="Y964" s="11"/>
      <c r="Z964" s="11" t="e">
        <f>D964</f>
        <v>#REF!</v>
      </c>
      <c r="AA964" s="11"/>
      <c r="AB964" s="11"/>
      <c r="AC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</row>
    <row r="965" spans="3:47" ht="12.75" hidden="1">
      <c r="C965" s="126" t="s">
        <v>456</v>
      </c>
      <c r="D965" s="11" t="e">
        <f>SUM(D963:D964)</f>
        <v>#REF!</v>
      </c>
      <c r="E965" s="185"/>
      <c r="F965" s="185"/>
      <c r="G965" s="11"/>
      <c r="H965" s="6"/>
      <c r="V965" s="11">
        <f>SUM(V963:V964)</f>
        <v>14.425</v>
      </c>
      <c r="W965" s="11">
        <f aca="true" t="shared" si="201" ref="W965:AB965">SUM(W963:W964)</f>
        <v>8.032</v>
      </c>
      <c r="X965" s="11">
        <f t="shared" si="201"/>
        <v>1.905</v>
      </c>
      <c r="Y965" s="11">
        <f t="shared" si="201"/>
        <v>0.43699999999999994</v>
      </c>
      <c r="Z965" s="11" t="e">
        <f t="shared" si="201"/>
        <v>#REF!</v>
      </c>
      <c r="AA965" s="11">
        <f t="shared" si="201"/>
        <v>51.87799999999999</v>
      </c>
      <c r="AB965" s="11">
        <f t="shared" si="201"/>
        <v>18.798000000000002</v>
      </c>
      <c r="AC965" s="11" t="e">
        <f>SUM(V965:AB965)</f>
        <v>#REF!</v>
      </c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</row>
    <row r="966" spans="3:47" ht="12.75" hidden="1">
      <c r="C966" s="126" t="s">
        <v>1459</v>
      </c>
      <c r="D966" s="11">
        <f>D940</f>
        <v>107.69714425</v>
      </c>
      <c r="E966" s="185"/>
      <c r="F966" s="185"/>
      <c r="G966" s="11"/>
      <c r="H966" s="6"/>
      <c r="V966" s="11"/>
      <c r="W966" s="11"/>
      <c r="X966" s="11"/>
      <c r="Y966" s="11"/>
      <c r="Z966" s="11"/>
      <c r="AA966" s="11"/>
      <c r="AB966" s="11"/>
      <c r="AC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</row>
    <row r="967" spans="3:47" ht="12.75" hidden="1">
      <c r="C967" s="126" t="s">
        <v>457</v>
      </c>
      <c r="D967" s="11" t="e">
        <f>D965-D966</f>
        <v>#REF!</v>
      </c>
      <c r="F967" s="185"/>
      <c r="G967" s="11"/>
      <c r="H967" s="6"/>
      <c r="V967" s="11"/>
      <c r="W967" s="11"/>
      <c r="X967" s="11"/>
      <c r="Y967" s="11"/>
      <c r="Z967" s="11"/>
      <c r="AA967" s="11"/>
      <c r="AB967" s="11"/>
      <c r="AC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</row>
    <row r="968" spans="3:47" ht="12.75" hidden="1">
      <c r="C968" s="126"/>
      <c r="D968" s="11"/>
      <c r="E968" s="185"/>
      <c r="F968" s="185"/>
      <c r="G968" s="11"/>
      <c r="H968" s="6"/>
      <c r="V968" s="11"/>
      <c r="W968" s="11"/>
      <c r="X968" s="11"/>
      <c r="Y968" s="11"/>
      <c r="Z968" s="11"/>
      <c r="AA968" s="11"/>
      <c r="AB968" s="11"/>
      <c r="AC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</row>
    <row r="969" spans="4:19" ht="12.75" hidden="1">
      <c r="D969" s="13"/>
      <c r="E969" s="184"/>
      <c r="F969" s="184"/>
      <c r="G969" s="16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</row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>
      <c r="AC1000" s="33">
        <v>-5.934</v>
      </c>
    </row>
    <row r="1001" ht="12.75" hidden="1">
      <c r="AC1001" s="33">
        <f>SUM(AC1000:AC1000)</f>
        <v>-5.934</v>
      </c>
    </row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>
      <c r="H1013" s="6"/>
    </row>
    <row r="1014" ht="12.75" hidden="1">
      <c r="H1014" s="6"/>
    </row>
    <row r="1015" ht="12.75" hidden="1">
      <c r="H1015" s="6"/>
    </row>
    <row r="1016" ht="12.75" hidden="1">
      <c r="H1016" s="6"/>
    </row>
    <row r="1017" ht="12.75" hidden="1">
      <c r="H1017" s="6"/>
    </row>
    <row r="1018" ht="12.75" hidden="1">
      <c r="H1018" s="6"/>
    </row>
    <row r="1019" ht="12.75" hidden="1">
      <c r="H1019" s="6"/>
    </row>
    <row r="1020" ht="12.75" hidden="1">
      <c r="H1020" s="6"/>
    </row>
    <row r="1021" ht="12.75" hidden="1">
      <c r="H1021" s="6"/>
    </row>
    <row r="1022" spans="7:21" ht="12.75" hidden="1"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</row>
    <row r="1023" spans="7:21" ht="12.75" hidden="1"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</row>
    <row r="1024" spans="7:21" ht="12.75" hidden="1"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</row>
    <row r="1025" spans="7:21" ht="12.75" hidden="1"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</row>
    <row r="1026" spans="7:21" ht="12.75" hidden="1"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</row>
    <row r="1027" ht="12.75" hidden="1">
      <c r="H1027" s="6"/>
    </row>
    <row r="1028" ht="12.75" hidden="1">
      <c r="H1028" s="6"/>
    </row>
    <row r="1029" ht="12.75" hidden="1">
      <c r="H1029" s="6"/>
    </row>
    <row r="1030" ht="12.75" hidden="1">
      <c r="H1030" s="6"/>
    </row>
    <row r="1031" ht="12.75" hidden="1">
      <c r="H1031" s="6"/>
    </row>
    <row r="1032" ht="12.75" hidden="1">
      <c r="H1032" s="6"/>
    </row>
    <row r="1033" ht="12.75" hidden="1">
      <c r="H1033" s="6"/>
    </row>
    <row r="1034" ht="12.75" hidden="1">
      <c r="H1034" s="6"/>
    </row>
    <row r="1035" ht="12.75" hidden="1">
      <c r="H1035" s="6"/>
    </row>
    <row r="1036" ht="12.75" hidden="1">
      <c r="H1036" s="6"/>
    </row>
    <row r="1037" ht="12.75" hidden="1">
      <c r="H1037" s="6"/>
    </row>
    <row r="1038" ht="12.75" hidden="1">
      <c r="H1038" s="6"/>
    </row>
    <row r="1039" ht="12.75" hidden="1">
      <c r="H1039" s="6"/>
    </row>
    <row r="1040" ht="12.75" hidden="1">
      <c r="H1040" s="6"/>
    </row>
    <row r="1041" ht="12.75" hidden="1">
      <c r="H1041" s="6"/>
    </row>
    <row r="1042" ht="12.75" hidden="1">
      <c r="H1042" s="6"/>
    </row>
    <row r="1043" ht="12.75" hidden="1">
      <c r="H1043" s="6"/>
    </row>
    <row r="1044" ht="12.75" hidden="1">
      <c r="H1044" s="6"/>
    </row>
    <row r="1045" ht="12.75" hidden="1">
      <c r="H1045" s="6"/>
    </row>
    <row r="1046" ht="12.75" hidden="1">
      <c r="H1046" s="6"/>
    </row>
    <row r="1047" ht="12.75" hidden="1">
      <c r="H1047" s="6"/>
    </row>
    <row r="1048" ht="12.75" hidden="1">
      <c r="H1048" s="6"/>
    </row>
    <row r="1049" ht="12.75" hidden="1">
      <c r="H1049" s="6"/>
    </row>
    <row r="1050" ht="12.75" hidden="1">
      <c r="H1050" s="6"/>
    </row>
    <row r="1051" ht="12.75" hidden="1">
      <c r="H1051" s="6"/>
    </row>
    <row r="1052" ht="12.75" hidden="1">
      <c r="H1052" s="6"/>
    </row>
    <row r="1053" ht="12.75" hidden="1">
      <c r="H1053" s="6"/>
    </row>
    <row r="1054" ht="12.75" hidden="1">
      <c r="H1054" s="6"/>
    </row>
    <row r="1055" ht="12.75" hidden="1">
      <c r="H1055" s="6"/>
    </row>
    <row r="1056" ht="12.75" hidden="1">
      <c r="H1056" s="6"/>
    </row>
    <row r="1057" ht="12.75" hidden="1">
      <c r="H1057" s="6"/>
    </row>
    <row r="1058" ht="12.75" hidden="1">
      <c r="H1058" s="6"/>
    </row>
    <row r="1059" ht="12.75" hidden="1">
      <c r="H1059" s="6"/>
    </row>
    <row r="1060" ht="12.75" hidden="1">
      <c r="H1060" s="6"/>
    </row>
    <row r="1061" ht="12.75" hidden="1">
      <c r="H1061" s="6"/>
    </row>
    <row r="1062" ht="12.75" hidden="1">
      <c r="H1062" s="6"/>
    </row>
    <row r="1063" ht="12.75" hidden="1">
      <c r="H1063" s="6"/>
    </row>
    <row r="1064" ht="12.75" hidden="1">
      <c r="H1064" s="6"/>
    </row>
    <row r="1065" ht="12.75" hidden="1">
      <c r="H1065" s="6"/>
    </row>
    <row r="1066" ht="12.75" hidden="1">
      <c r="H1066" s="6"/>
    </row>
    <row r="1067" ht="12.75" hidden="1">
      <c r="H1067" s="6"/>
    </row>
    <row r="1068" ht="12.75" hidden="1">
      <c r="H1068" s="6"/>
    </row>
    <row r="1069" ht="12.75" hidden="1">
      <c r="H1069" s="6"/>
    </row>
    <row r="1070" ht="12.75" hidden="1">
      <c r="H1070" s="6"/>
    </row>
    <row r="1071" ht="12.75" hidden="1">
      <c r="H1071" s="6"/>
    </row>
    <row r="1072" ht="12.75" hidden="1">
      <c r="H1072" s="6"/>
    </row>
    <row r="1073" ht="12.75" hidden="1">
      <c r="H1073" s="6"/>
    </row>
    <row r="1074" ht="12.75" hidden="1">
      <c r="H1074" s="6"/>
    </row>
    <row r="1075" ht="12.75" hidden="1">
      <c r="H1075" s="6"/>
    </row>
    <row r="1076" ht="12.75" hidden="1">
      <c r="H1076" s="6"/>
    </row>
    <row r="1077" ht="12.75" hidden="1">
      <c r="H1077" s="6"/>
    </row>
    <row r="1078" ht="12.75" hidden="1">
      <c r="H1078" s="6"/>
    </row>
    <row r="1079" ht="12.75" hidden="1">
      <c r="H1079" s="6"/>
    </row>
    <row r="1080" ht="12.75" hidden="1">
      <c r="H1080" s="6"/>
    </row>
    <row r="1081" ht="12.75" hidden="1">
      <c r="H1081" s="6"/>
    </row>
    <row r="1082" ht="12.75" hidden="1">
      <c r="H1082" s="6"/>
    </row>
    <row r="1083" ht="12.75" hidden="1">
      <c r="H1083" s="6"/>
    </row>
    <row r="1084" ht="12.75" hidden="1">
      <c r="H1084" s="6"/>
    </row>
    <row r="1085" ht="12.75" hidden="1">
      <c r="H1085" s="6"/>
    </row>
    <row r="1086" ht="12.75" hidden="1">
      <c r="H1086" s="6"/>
    </row>
    <row r="1087" ht="12.75" hidden="1">
      <c r="H1087" s="6"/>
    </row>
    <row r="1088" ht="12.75" hidden="1">
      <c r="H1088" s="6"/>
    </row>
    <row r="1089" ht="12.75" hidden="1">
      <c r="H1089" s="6"/>
    </row>
    <row r="1090" ht="12.75" hidden="1">
      <c r="H1090" s="6"/>
    </row>
    <row r="1091" ht="12.75" hidden="1">
      <c r="H1091" s="6"/>
    </row>
    <row r="1092" ht="12.75" hidden="1">
      <c r="H1092" s="6"/>
    </row>
    <row r="1093" ht="12.75" hidden="1">
      <c r="H1093" s="6"/>
    </row>
    <row r="1094" ht="12.75" hidden="1">
      <c r="H1094" s="6"/>
    </row>
    <row r="1095" ht="12.75" hidden="1">
      <c r="H1095" s="6"/>
    </row>
    <row r="1096" ht="12.75" hidden="1">
      <c r="H1096" s="6"/>
    </row>
    <row r="1097" ht="12.75" hidden="1">
      <c r="H1097" s="6"/>
    </row>
    <row r="1098" ht="12.75" hidden="1">
      <c r="H1098" s="6"/>
    </row>
    <row r="1099" ht="12.75" hidden="1">
      <c r="H1099" s="6"/>
    </row>
    <row r="1100" ht="12.75" hidden="1">
      <c r="H1100" s="6"/>
    </row>
    <row r="1101" ht="12.75" hidden="1">
      <c r="H1101" s="6"/>
    </row>
    <row r="1102" ht="12.75" hidden="1">
      <c r="H1102" s="6"/>
    </row>
    <row r="1103" ht="12.75" hidden="1">
      <c r="H1103" s="6"/>
    </row>
    <row r="1104" ht="12.75" hidden="1">
      <c r="H1104" s="6"/>
    </row>
    <row r="1105" ht="12.75" hidden="1">
      <c r="H1105" s="6"/>
    </row>
    <row r="1106" ht="12.75" hidden="1">
      <c r="H1106" s="6"/>
    </row>
    <row r="1107" ht="12.75" hidden="1">
      <c r="H1107" s="6"/>
    </row>
    <row r="1108" ht="12.75" hidden="1">
      <c r="H1108" s="6"/>
    </row>
    <row r="1109" ht="12.75" hidden="1">
      <c r="H1109" s="6"/>
    </row>
    <row r="1110" ht="12.75" hidden="1">
      <c r="H1110" s="6"/>
    </row>
    <row r="1111" ht="12.75" hidden="1">
      <c r="H1111" s="6"/>
    </row>
    <row r="1112" ht="12.75" hidden="1">
      <c r="H1112" s="6"/>
    </row>
    <row r="1113" ht="12.75" hidden="1">
      <c r="H1113" s="6"/>
    </row>
    <row r="1114" ht="12.75" hidden="1">
      <c r="H1114" s="6"/>
    </row>
    <row r="1115" ht="12.75" hidden="1">
      <c r="H1115" s="6"/>
    </row>
    <row r="1116" ht="12.75" hidden="1">
      <c r="H1116" s="6"/>
    </row>
    <row r="1117" ht="12.75" hidden="1">
      <c r="H1117" s="6"/>
    </row>
    <row r="1118" ht="12.75" hidden="1">
      <c r="H1118" s="6"/>
    </row>
    <row r="1119" ht="12.75" hidden="1">
      <c r="H1119" s="6"/>
    </row>
    <row r="1120" ht="12.75" hidden="1">
      <c r="H1120" s="6"/>
    </row>
    <row r="1121" ht="12.75" hidden="1">
      <c r="H1121" s="6"/>
    </row>
    <row r="1122" ht="12.75" hidden="1">
      <c r="H1122" s="6"/>
    </row>
    <row r="1123" ht="12.75" hidden="1">
      <c r="H1123" s="6"/>
    </row>
    <row r="1124" ht="12.75" hidden="1">
      <c r="H1124" s="6"/>
    </row>
    <row r="1125" ht="12.75" hidden="1">
      <c r="H1125" s="6"/>
    </row>
    <row r="1126" ht="12.75" hidden="1">
      <c r="H1126" s="6"/>
    </row>
    <row r="1127" ht="12.75" hidden="1">
      <c r="H1127" s="6"/>
    </row>
    <row r="1128" ht="12.75" hidden="1">
      <c r="H1128" s="6"/>
    </row>
    <row r="1129" ht="12.75" hidden="1">
      <c r="H1129" s="6"/>
    </row>
    <row r="1130" ht="12.75" hidden="1">
      <c r="H1130" s="6"/>
    </row>
    <row r="1131" ht="12.75" hidden="1">
      <c r="H1131" s="6"/>
    </row>
    <row r="1132" ht="12.75" hidden="1">
      <c r="H1132" s="6"/>
    </row>
    <row r="1133" ht="12.75" hidden="1">
      <c r="H1133" s="6"/>
    </row>
    <row r="1134" ht="12.75" hidden="1">
      <c r="H1134" s="6"/>
    </row>
    <row r="1135" ht="12.75" hidden="1">
      <c r="H1135" s="6"/>
    </row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2101" ht="12.75"/>
    <row r="2103" ht="12.75"/>
  </sheetData>
  <mergeCells count="2">
    <mergeCell ref="E2:F2"/>
    <mergeCell ref="H2:S2"/>
  </mergeCells>
  <printOptions horizontalCentered="1"/>
  <pageMargins left="0.4330708661417323" right="0" top="0.3937007874015748" bottom="0" header="0.11811023622047245" footer="0"/>
  <pageSetup horizontalDpi="300" verticalDpi="300" orientation="landscape" paperSize="9" scale="70" r:id="rId3"/>
  <headerFooter alignWithMargins="0">
    <oddHeader>&amp;C&amp;"Arial,Bold"&amp;U2004/05 CAPITAL PROGRAMME&amp;R&amp;"Arial,Bold"&amp;UAppendix 1</oddHeader>
  </headerFooter>
  <rowBreaks count="4" manualBreakCount="4">
    <brk id="417" max="255" man="1"/>
    <brk id="693" max="255" man="1"/>
    <brk id="744" max="255" man="1"/>
    <brk id="78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0"/>
  <sheetViews>
    <sheetView showGridLines="0" workbookViewId="0" topLeftCell="A48">
      <selection activeCell="F64" sqref="F64"/>
    </sheetView>
  </sheetViews>
  <sheetFormatPr defaultColWidth="9.140625" defaultRowHeight="12.75"/>
  <cols>
    <col min="1" max="1" width="5.7109375" style="57" customWidth="1"/>
    <col min="2" max="2" width="40.7109375" style="57" customWidth="1"/>
    <col min="3" max="3" width="9.7109375" style="57" customWidth="1"/>
    <col min="4" max="4" width="3.140625" style="57" customWidth="1"/>
    <col min="5" max="5" width="7.140625" style="58" customWidth="1"/>
    <col min="6" max="6" width="9.28125" style="57" customWidth="1"/>
    <col min="7" max="7" width="11.421875" style="57" customWidth="1"/>
    <col min="8" max="8" width="24.7109375" style="57" bestFit="1" customWidth="1"/>
    <col min="9" max="21" width="5.7109375" style="57" customWidth="1"/>
    <col min="22" max="16384" width="9.140625" style="27" customWidth="1"/>
  </cols>
  <sheetData>
    <row r="1" ht="12.75"/>
    <row r="2" spans="2:7" ht="12.75">
      <c r="B2" s="2"/>
      <c r="G2" s="59"/>
    </row>
    <row r="3" ht="7.5" customHeight="1"/>
    <row r="4" spans="2:4" ht="12.75">
      <c r="B4" s="1" t="s">
        <v>1579</v>
      </c>
      <c r="D4" s="60"/>
    </row>
    <row r="5" spans="3:4" ht="6.75" customHeight="1">
      <c r="C5" s="60"/>
      <c r="D5" s="60"/>
    </row>
    <row r="6" ht="10.5" customHeight="1"/>
    <row r="7" spans="2:8" ht="12.75">
      <c r="B7" s="61" t="s">
        <v>1325</v>
      </c>
      <c r="C7" s="1" t="s">
        <v>1326</v>
      </c>
      <c r="D7" s="1"/>
      <c r="F7" s="1" t="s">
        <v>1327</v>
      </c>
      <c r="G7" s="62"/>
      <c r="H7" s="1"/>
    </row>
    <row r="8" spans="2:8" ht="12.75">
      <c r="B8" s="2"/>
      <c r="C8" s="1" t="s">
        <v>1328</v>
      </c>
      <c r="D8" s="1"/>
      <c r="E8" s="1" t="s">
        <v>1350</v>
      </c>
      <c r="F8" s="1" t="s">
        <v>1333</v>
      </c>
      <c r="G8" s="2"/>
      <c r="H8" s="2"/>
    </row>
    <row r="9" spans="2:8" ht="12.75">
      <c r="B9" s="2"/>
      <c r="C9" s="1" t="s">
        <v>1334</v>
      </c>
      <c r="D9" s="1"/>
      <c r="E9" s="1" t="s">
        <v>1349</v>
      </c>
      <c r="F9" s="1" t="s">
        <v>1335</v>
      </c>
      <c r="G9" s="2"/>
      <c r="H9" s="2"/>
    </row>
    <row r="10" spans="2:8" ht="9.75" customHeight="1">
      <c r="B10" s="2"/>
      <c r="C10" s="2"/>
      <c r="D10" s="2"/>
      <c r="E10" s="1"/>
      <c r="F10" s="2"/>
      <c r="G10" s="2"/>
      <c r="H10" s="2"/>
    </row>
    <row r="11" spans="2:8" ht="12.75">
      <c r="B11" s="63" t="s">
        <v>1336</v>
      </c>
      <c r="C11" s="2"/>
      <c r="D11" s="2"/>
      <c r="E11" s="1"/>
      <c r="F11" s="2"/>
      <c r="G11" s="2"/>
      <c r="H11" s="2"/>
    </row>
    <row r="12" spans="2:8" ht="7.5" customHeight="1">
      <c r="B12" s="2"/>
      <c r="C12" s="2"/>
      <c r="D12" s="2"/>
      <c r="E12" s="1"/>
      <c r="F12" s="2"/>
      <c r="G12" s="2"/>
      <c r="H12" s="2"/>
    </row>
    <row r="13" spans="2:8" ht="12.75">
      <c r="B13" s="2" t="s">
        <v>1337</v>
      </c>
      <c r="C13" s="64">
        <v>11854</v>
      </c>
      <c r="D13" s="64"/>
      <c r="E13" s="58">
        <v>25</v>
      </c>
      <c r="F13" s="65">
        <f>C13*E13/100</f>
        <v>2963.5</v>
      </c>
      <c r="G13" s="2"/>
      <c r="H13" s="2"/>
    </row>
    <row r="14" spans="2:8" ht="12.75">
      <c r="B14" s="2"/>
      <c r="C14" s="64"/>
      <c r="D14" s="64"/>
      <c r="F14" s="65"/>
      <c r="G14" s="2"/>
      <c r="H14" s="2"/>
    </row>
    <row r="15" spans="2:8" ht="12.75">
      <c r="B15" s="2" t="s">
        <v>1352</v>
      </c>
      <c r="C15" s="64"/>
      <c r="D15" s="64"/>
      <c r="F15" s="65"/>
      <c r="G15" s="2"/>
      <c r="H15" s="2"/>
    </row>
    <row r="16" spans="2:8" ht="12.75">
      <c r="B16" s="57" t="s">
        <v>1456</v>
      </c>
      <c r="C16" s="57">
        <v>73</v>
      </c>
      <c r="E16" s="58">
        <v>25</v>
      </c>
      <c r="F16" s="65">
        <f>C16*E16/100</f>
        <v>18.25</v>
      </c>
      <c r="G16" s="2"/>
      <c r="H16" s="2"/>
    </row>
    <row r="17" spans="2:8" ht="12.75">
      <c r="B17" s="57" t="s">
        <v>421</v>
      </c>
      <c r="C17" s="57">
        <v>38</v>
      </c>
      <c r="E17" s="58">
        <v>25</v>
      </c>
      <c r="F17" s="65">
        <f>C17*E17/100</f>
        <v>9.5</v>
      </c>
      <c r="G17" s="2"/>
      <c r="H17" s="2"/>
    </row>
    <row r="18" spans="2:8" ht="12.75">
      <c r="B18" s="67" t="s">
        <v>523</v>
      </c>
      <c r="C18" s="149">
        <v>31</v>
      </c>
      <c r="E18" s="58">
        <v>25</v>
      </c>
      <c r="F18" s="65">
        <f aca="true" t="shared" si="0" ref="F18:F23">C18*E18/100</f>
        <v>7.75</v>
      </c>
      <c r="G18" s="2"/>
      <c r="H18" s="2"/>
    </row>
    <row r="19" spans="2:8" ht="12.75">
      <c r="B19" s="67" t="s">
        <v>524</v>
      </c>
      <c r="C19" s="149">
        <v>56</v>
      </c>
      <c r="E19" s="58">
        <v>25</v>
      </c>
      <c r="F19" s="65">
        <f t="shared" si="0"/>
        <v>14</v>
      </c>
      <c r="G19" s="2"/>
      <c r="H19" s="2"/>
    </row>
    <row r="20" spans="2:8" ht="12.75">
      <c r="B20" s="67" t="s">
        <v>525</v>
      </c>
      <c r="C20" s="149">
        <v>48</v>
      </c>
      <c r="E20" s="58">
        <v>25</v>
      </c>
      <c r="F20" s="65">
        <f t="shared" si="0"/>
        <v>12</v>
      </c>
      <c r="G20" s="2"/>
      <c r="H20" s="2"/>
    </row>
    <row r="21" spans="2:8" ht="12.75">
      <c r="B21" s="67" t="s">
        <v>461</v>
      </c>
      <c r="C21" s="149">
        <v>51</v>
      </c>
      <c r="E21" s="58">
        <v>25</v>
      </c>
      <c r="F21" s="65">
        <f t="shared" si="0"/>
        <v>12.75</v>
      </c>
      <c r="G21" s="2"/>
      <c r="H21" s="2"/>
    </row>
    <row r="22" spans="2:8" ht="12.75">
      <c r="B22" s="67" t="s">
        <v>1527</v>
      </c>
      <c r="C22" s="149">
        <v>15</v>
      </c>
      <c r="E22" s="58">
        <v>25</v>
      </c>
      <c r="F22" s="65">
        <f>C22*E22/100</f>
        <v>3.75</v>
      </c>
      <c r="G22" s="2"/>
      <c r="H22" s="2"/>
    </row>
    <row r="23" spans="2:8" ht="12.75">
      <c r="B23" s="67" t="s">
        <v>460</v>
      </c>
      <c r="C23" s="149">
        <v>20</v>
      </c>
      <c r="E23" s="58">
        <v>25</v>
      </c>
      <c r="F23" s="65">
        <f t="shared" si="0"/>
        <v>5</v>
      </c>
      <c r="G23" s="2"/>
      <c r="H23" s="2"/>
    </row>
    <row r="24" spans="2:8" ht="12.75">
      <c r="B24" s="67" t="s">
        <v>1060</v>
      </c>
      <c r="C24" s="149">
        <v>10</v>
      </c>
      <c r="E24" s="58">
        <v>25</v>
      </c>
      <c r="F24" s="65">
        <f>C24*E24/100</f>
        <v>2.5</v>
      </c>
      <c r="G24" s="2"/>
      <c r="H24" s="2"/>
    </row>
    <row r="25" spans="2:8" ht="12.75">
      <c r="B25" s="67" t="s">
        <v>1061</v>
      </c>
      <c r="C25" s="149">
        <v>17</v>
      </c>
      <c r="E25" s="58">
        <v>25</v>
      </c>
      <c r="F25" s="65">
        <f>C25*E25/100</f>
        <v>4.25</v>
      </c>
      <c r="G25" s="2"/>
      <c r="H25" s="2"/>
    </row>
    <row r="26" spans="6:8" ht="12.75">
      <c r="F26" s="65"/>
      <c r="G26" s="2"/>
      <c r="H26" s="150" t="s">
        <v>355</v>
      </c>
    </row>
    <row r="27" spans="2:8" ht="12.75">
      <c r="B27" s="66" t="s">
        <v>1324</v>
      </c>
      <c r="G27" s="2"/>
      <c r="H27" s="2"/>
    </row>
    <row r="28" spans="2:8" ht="12.75">
      <c r="B28" s="67" t="s">
        <v>1457</v>
      </c>
      <c r="C28" s="57">
        <v>2151</v>
      </c>
      <c r="E28" s="58">
        <v>100</v>
      </c>
      <c r="F28" s="65">
        <f aca="true" t="shared" si="1" ref="F28:F35">C28*E28/100</f>
        <v>2151</v>
      </c>
      <c r="G28" s="2"/>
      <c r="H28" s="2"/>
    </row>
    <row r="29" spans="2:8" ht="12.75">
      <c r="B29" s="67" t="s">
        <v>1573</v>
      </c>
      <c r="C29" s="57">
        <v>550</v>
      </c>
      <c r="E29" s="58">
        <v>100</v>
      </c>
      <c r="F29" s="65">
        <f t="shared" si="1"/>
        <v>550</v>
      </c>
      <c r="G29" s="2"/>
      <c r="H29" s="2"/>
    </row>
    <row r="30" spans="2:8" ht="12.75">
      <c r="B30" s="67" t="s">
        <v>106</v>
      </c>
      <c r="C30" s="57">
        <v>25</v>
      </c>
      <c r="E30" s="58">
        <v>100</v>
      </c>
      <c r="F30" s="65">
        <f t="shared" si="1"/>
        <v>25</v>
      </c>
      <c r="G30" s="2"/>
      <c r="H30" s="2"/>
    </row>
    <row r="31" spans="2:8" ht="12.75">
      <c r="B31" s="67" t="s">
        <v>458</v>
      </c>
      <c r="C31" s="57">
        <v>17</v>
      </c>
      <c r="E31" s="58">
        <v>100</v>
      </c>
      <c r="F31" s="65">
        <f t="shared" si="1"/>
        <v>17</v>
      </c>
      <c r="G31" s="2"/>
      <c r="H31" s="2"/>
    </row>
    <row r="32" spans="2:8" ht="12.75">
      <c r="B32" s="67" t="s">
        <v>459</v>
      </c>
      <c r="C32" s="57">
        <v>44</v>
      </c>
      <c r="E32" s="58">
        <v>100</v>
      </c>
      <c r="F32" s="65">
        <f t="shared" si="1"/>
        <v>44</v>
      </c>
      <c r="G32" s="2"/>
      <c r="H32" s="2"/>
    </row>
    <row r="33" spans="2:8" ht="12.75">
      <c r="B33" s="67" t="s">
        <v>1524</v>
      </c>
      <c r="C33" s="57">
        <v>10</v>
      </c>
      <c r="E33" s="58">
        <v>100</v>
      </c>
      <c r="F33" s="65">
        <f t="shared" si="1"/>
        <v>10</v>
      </c>
      <c r="G33" s="2"/>
      <c r="H33" s="2"/>
    </row>
    <row r="34" spans="2:8" ht="12.75">
      <c r="B34" s="67" t="s">
        <v>1525</v>
      </c>
      <c r="C34" s="57">
        <v>145</v>
      </c>
      <c r="E34" s="58">
        <v>100</v>
      </c>
      <c r="F34" s="65">
        <f t="shared" si="1"/>
        <v>145</v>
      </c>
      <c r="G34" s="2"/>
      <c r="H34" s="2"/>
    </row>
    <row r="35" spans="2:8" ht="12.75">
      <c r="B35" s="67" t="s">
        <v>1526</v>
      </c>
      <c r="C35" s="57">
        <v>16</v>
      </c>
      <c r="E35" s="58">
        <v>100</v>
      </c>
      <c r="F35" s="65">
        <f t="shared" si="1"/>
        <v>16</v>
      </c>
      <c r="G35" s="2"/>
      <c r="H35" s="2"/>
    </row>
    <row r="36" spans="2:8" ht="12.75">
      <c r="B36" s="67" t="s">
        <v>1062</v>
      </c>
      <c r="C36" s="57">
        <v>15</v>
      </c>
      <c r="E36" s="58">
        <v>100</v>
      </c>
      <c r="F36" s="65">
        <f>C36*E36/100</f>
        <v>15</v>
      </c>
      <c r="G36" s="2"/>
      <c r="H36" s="2"/>
    </row>
    <row r="37" spans="2:8" ht="12.75">
      <c r="B37" s="67" t="s">
        <v>1063</v>
      </c>
      <c r="C37" s="57">
        <v>11</v>
      </c>
      <c r="E37" s="58">
        <v>100</v>
      </c>
      <c r="F37" s="65">
        <f>C37*E37/100</f>
        <v>11</v>
      </c>
      <c r="G37" s="2"/>
      <c r="H37" s="2"/>
    </row>
    <row r="38" spans="2:8" ht="12.75">
      <c r="B38" s="67" t="s">
        <v>1064</v>
      </c>
      <c r="C38" s="57">
        <v>15</v>
      </c>
      <c r="E38" s="58">
        <v>100</v>
      </c>
      <c r="F38" s="65">
        <f>C38*E38/100</f>
        <v>15</v>
      </c>
      <c r="G38" s="2"/>
      <c r="H38" s="2"/>
    </row>
    <row r="39" spans="2:8" ht="11.25" customHeight="1">
      <c r="B39" s="27" t="s">
        <v>85</v>
      </c>
      <c r="C39" s="262">
        <v>175</v>
      </c>
      <c r="E39" s="58">
        <v>100</v>
      </c>
      <c r="F39" s="57">
        <f>C39*E39/100</f>
        <v>175</v>
      </c>
      <c r="G39" s="2"/>
      <c r="H39" s="2"/>
    </row>
    <row r="40" spans="7:8" ht="8.25" customHeight="1">
      <c r="G40" s="2"/>
      <c r="H40" s="2"/>
    </row>
    <row r="41" spans="2:8" ht="12.75">
      <c r="B41" s="2" t="s">
        <v>1338</v>
      </c>
      <c r="C41" s="68">
        <f>SUM(C13:C39)</f>
        <v>15387</v>
      </c>
      <c r="D41" s="68"/>
      <c r="E41" s="69"/>
      <c r="F41" s="68">
        <f>SUM(F13:F39)</f>
        <v>6227.25</v>
      </c>
      <c r="G41" s="2"/>
      <c r="H41" s="2"/>
    </row>
    <row r="42" spans="2:8" ht="12.75">
      <c r="B42" s="2"/>
      <c r="C42" s="2"/>
      <c r="D42" s="2"/>
      <c r="E42" s="1"/>
      <c r="F42" s="2"/>
      <c r="G42" s="2"/>
      <c r="H42" s="2"/>
    </row>
    <row r="43" ht="12.75">
      <c r="B43" s="63" t="s">
        <v>1339</v>
      </c>
    </row>
    <row r="44" ht="12.75">
      <c r="B44" s="63"/>
    </row>
    <row r="45" spans="2:6" ht="12.75">
      <c r="B45" s="2" t="s">
        <v>1337</v>
      </c>
      <c r="C45" s="64">
        <f>18000-C13</f>
        <v>6146</v>
      </c>
      <c r="E45" s="58">
        <v>25</v>
      </c>
      <c r="F45" s="65">
        <f>C45*0.25</f>
        <v>1536.5</v>
      </c>
    </row>
    <row r="46" ht="12.75">
      <c r="B46" s="63"/>
    </row>
    <row r="47" spans="2:6" ht="12.75">
      <c r="B47" s="2" t="s">
        <v>1379</v>
      </c>
      <c r="C47" s="57">
        <v>655</v>
      </c>
      <c r="E47" s="58">
        <v>25</v>
      </c>
      <c r="F47" s="65">
        <f>C47*0.25</f>
        <v>163.75</v>
      </c>
    </row>
    <row r="48" ht="12.75">
      <c r="B48" s="63"/>
    </row>
    <row r="49" spans="2:6" ht="12.75">
      <c r="B49" s="66" t="s">
        <v>1324</v>
      </c>
      <c r="C49" s="65">
        <v>4339</v>
      </c>
      <c r="D49" s="65"/>
      <c r="E49" s="70">
        <v>100</v>
      </c>
      <c r="F49" s="57">
        <f>C49</f>
        <v>4339</v>
      </c>
    </row>
    <row r="50" spans="3:6" ht="12.75">
      <c r="C50" s="65"/>
      <c r="D50" s="65"/>
      <c r="E50" s="70"/>
      <c r="F50" s="65"/>
    </row>
    <row r="51" spans="2:6" ht="12.75">
      <c r="B51" s="2" t="s">
        <v>1340</v>
      </c>
      <c r="C51" s="71">
        <f>SUM(C45:C49)</f>
        <v>11140</v>
      </c>
      <c r="D51" s="71"/>
      <c r="E51" s="72"/>
      <c r="F51" s="71">
        <f>SUM(F45:F49)</f>
        <v>6039.25</v>
      </c>
    </row>
    <row r="52" spans="3:6" ht="10.5" customHeight="1">
      <c r="C52" s="73"/>
      <c r="D52" s="73"/>
      <c r="E52" s="74"/>
      <c r="F52" s="73"/>
    </row>
    <row r="53" spans="2:6" ht="12.75">
      <c r="B53" s="2" t="s">
        <v>1341</v>
      </c>
      <c r="C53" s="75">
        <f>C41+C51</f>
        <v>26527</v>
      </c>
      <c r="D53" s="75"/>
      <c r="E53" s="76"/>
      <c r="F53" s="75">
        <f>F41+F51</f>
        <v>12266.5</v>
      </c>
    </row>
    <row r="54" spans="3:6" ht="12.75">
      <c r="C54" s="65"/>
      <c r="D54" s="65"/>
      <c r="E54" s="70"/>
      <c r="F54" s="65"/>
    </row>
    <row r="55" spans="2:6" ht="12.75">
      <c r="B55" s="2" t="s">
        <v>1393</v>
      </c>
      <c r="C55" s="65"/>
      <c r="D55" s="65"/>
      <c r="E55" s="70"/>
      <c r="F55" s="73">
        <v>500</v>
      </c>
    </row>
    <row r="56" spans="3:6" ht="12.75">
      <c r="C56" s="65"/>
      <c r="D56" s="65"/>
      <c r="E56" s="70"/>
      <c r="F56" s="65"/>
    </row>
    <row r="57" spans="2:6" ht="12.75">
      <c r="B57" s="2" t="s">
        <v>71</v>
      </c>
      <c r="C57" s="65"/>
      <c r="D57" s="65"/>
      <c r="E57" s="70"/>
      <c r="F57" s="71">
        <f>F53-F55</f>
        <v>11766.5</v>
      </c>
    </row>
    <row r="58" spans="3:6" ht="12.75">
      <c r="C58" s="65"/>
      <c r="D58" s="65"/>
      <c r="E58" s="70"/>
      <c r="F58" s="65"/>
    </row>
    <row r="59" spans="2:6" ht="12.75">
      <c r="B59" s="2" t="s">
        <v>1076</v>
      </c>
      <c r="C59" s="65"/>
      <c r="D59" s="65"/>
      <c r="E59" s="70"/>
      <c r="F59" s="259">
        <f>4895-2670</f>
        <v>2225</v>
      </c>
    </row>
    <row r="60" spans="2:6" ht="12.75">
      <c r="B60" s="2" t="s">
        <v>1077</v>
      </c>
      <c r="C60" s="65"/>
      <c r="D60" s="65"/>
      <c r="E60" s="70"/>
      <c r="F60" s="73">
        <f>SUM(F57:F59)</f>
        <v>13991.5</v>
      </c>
    </row>
    <row r="61" spans="2:6" ht="12.75">
      <c r="B61" s="2"/>
      <c r="C61" s="65"/>
      <c r="D61" s="65"/>
      <c r="E61" s="70"/>
      <c r="F61" s="65"/>
    </row>
    <row r="62" spans="2:6" ht="12.75">
      <c r="B62" s="2" t="s">
        <v>1472</v>
      </c>
      <c r="C62" s="65"/>
      <c r="D62" s="65"/>
      <c r="E62" s="70"/>
      <c r="F62" s="73">
        <f>'Appendix 1'!Z940*1000</f>
        <v>14023.14425</v>
      </c>
    </row>
    <row r="63" spans="2:6" ht="12.75">
      <c r="B63" s="2"/>
      <c r="C63" s="65"/>
      <c r="D63" s="65"/>
      <c r="E63" s="70"/>
      <c r="F63" s="65"/>
    </row>
    <row r="64" spans="2:7" ht="12.75">
      <c r="B64" s="2" t="s">
        <v>1075</v>
      </c>
      <c r="C64" s="88"/>
      <c r="E64" s="70"/>
      <c r="F64" s="258">
        <v>-31</v>
      </c>
      <c r="G64" s="2"/>
    </row>
    <row r="65" spans="3:6" ht="12.75">
      <c r="C65" s="65"/>
      <c r="D65" s="65"/>
      <c r="E65" s="70"/>
      <c r="F65" s="27"/>
    </row>
    <row r="66" spans="3:6" ht="12.75">
      <c r="C66" s="65"/>
      <c r="D66" s="65"/>
      <c r="E66" s="70"/>
      <c r="F66" s="65"/>
    </row>
    <row r="67" spans="3:6" ht="12.75">
      <c r="C67" s="65"/>
      <c r="D67" s="65"/>
      <c r="E67" s="70"/>
      <c r="F67" s="65"/>
    </row>
    <row r="68" spans="3:6" ht="12.75">
      <c r="C68" s="65"/>
      <c r="D68" s="65"/>
      <c r="E68" s="70"/>
      <c r="F68" s="65"/>
    </row>
    <row r="69" spans="3:6" ht="12.75">
      <c r="C69" s="65"/>
      <c r="D69" s="65"/>
      <c r="E69" s="70"/>
      <c r="F69" s="65"/>
    </row>
    <row r="70" spans="3:6" ht="12.75">
      <c r="C70" s="65"/>
      <c r="D70" s="65"/>
      <c r="E70" s="70"/>
      <c r="F70" s="65"/>
    </row>
    <row r="71" spans="3:6" ht="12.75">
      <c r="C71" s="65"/>
      <c r="D71" s="65"/>
      <c r="E71" s="70"/>
      <c r="F71" s="65"/>
    </row>
    <row r="72" spans="3:6" ht="12.75">
      <c r="C72" s="65"/>
      <c r="D72" s="65"/>
      <c r="E72" s="70"/>
      <c r="F72" s="65"/>
    </row>
    <row r="73" spans="3:6" ht="12.75">
      <c r="C73" s="65"/>
      <c r="D73" s="65"/>
      <c r="E73" s="70"/>
      <c r="F73" s="65"/>
    </row>
    <row r="74" spans="3:6" ht="12.75">
      <c r="C74" s="65"/>
      <c r="D74" s="65"/>
      <c r="E74" s="70"/>
      <c r="F74" s="65"/>
    </row>
    <row r="75" spans="3:6" ht="12.75">
      <c r="C75" s="65"/>
      <c r="D75" s="65"/>
      <c r="E75" s="70"/>
      <c r="F75" s="65"/>
    </row>
    <row r="76" spans="3:6" ht="12.75">
      <c r="C76" s="65"/>
      <c r="D76" s="65"/>
      <c r="E76" s="70"/>
      <c r="F76" s="65"/>
    </row>
    <row r="77" spans="3:7" ht="12.75">
      <c r="C77" s="65"/>
      <c r="D77" s="65"/>
      <c r="E77" s="70"/>
      <c r="F77" s="65"/>
      <c r="G77" s="77"/>
    </row>
    <row r="78" spans="2:6" ht="12.75">
      <c r="B78" s="78"/>
      <c r="C78" s="65"/>
      <c r="D78" s="65"/>
      <c r="E78" s="70"/>
      <c r="F78" s="65"/>
    </row>
    <row r="79" spans="2:6" ht="12.75">
      <c r="B79" s="67"/>
      <c r="C79" s="65"/>
      <c r="D79" s="65"/>
      <c r="E79" s="70"/>
      <c r="F79" s="65"/>
    </row>
    <row r="80" spans="3:6" ht="12.75">
      <c r="C80" s="65"/>
      <c r="D80" s="65"/>
      <c r="E80" s="70"/>
      <c r="F80" s="65"/>
    </row>
    <row r="81" spans="2:6" ht="12.75">
      <c r="B81" s="67"/>
      <c r="C81" s="79"/>
      <c r="D81" s="79"/>
      <c r="E81" s="70"/>
      <c r="F81" s="65"/>
    </row>
    <row r="82" spans="2:6" ht="12.75">
      <c r="B82" s="78"/>
      <c r="C82" s="79"/>
      <c r="D82" s="79"/>
      <c r="E82" s="70"/>
      <c r="F82" s="65"/>
    </row>
    <row r="83" spans="2:6" ht="12.75">
      <c r="B83" s="78"/>
      <c r="C83" s="79"/>
      <c r="D83" s="79"/>
      <c r="E83" s="70"/>
      <c r="F83" s="65"/>
    </row>
    <row r="84" spans="2:6" ht="12.75">
      <c r="B84" s="78"/>
      <c r="C84" s="79"/>
      <c r="D84" s="79"/>
      <c r="E84" s="70"/>
      <c r="F84" s="65"/>
    </row>
    <row r="85" spans="2:7" ht="12.75">
      <c r="B85" s="67"/>
      <c r="C85" s="65"/>
      <c r="D85" s="65"/>
      <c r="E85" s="70"/>
      <c r="F85" s="65"/>
      <c r="G85" s="77"/>
    </row>
    <row r="86" spans="2:6" ht="12.75">
      <c r="B86" s="78"/>
      <c r="C86" s="79"/>
      <c r="D86" s="79"/>
      <c r="E86" s="70"/>
      <c r="F86" s="65"/>
    </row>
    <row r="87" spans="2:6" ht="12.75">
      <c r="B87" s="78"/>
      <c r="C87" s="79"/>
      <c r="D87" s="79"/>
      <c r="E87" s="70"/>
      <c r="F87" s="65"/>
    </row>
    <row r="88" spans="2:6" ht="12.75">
      <c r="B88" s="78"/>
      <c r="C88" s="65"/>
      <c r="D88" s="65"/>
      <c r="E88" s="70"/>
      <c r="F88" s="65"/>
    </row>
    <row r="89" spans="2:7" ht="12.75">
      <c r="B89" s="78"/>
      <c r="C89" s="79"/>
      <c r="D89" s="79"/>
      <c r="E89" s="70"/>
      <c r="F89" s="65"/>
      <c r="G89" s="77"/>
    </row>
    <row r="90" spans="2:7" ht="12.75">
      <c r="B90" s="67"/>
      <c r="C90" s="65"/>
      <c r="D90" s="65"/>
      <c r="E90" s="70"/>
      <c r="F90" s="65"/>
      <c r="G90" s="77"/>
    </row>
    <row r="91" spans="2:7" ht="12.75">
      <c r="B91" s="67"/>
      <c r="C91" s="79"/>
      <c r="D91" s="79"/>
      <c r="E91" s="70"/>
      <c r="F91" s="65"/>
      <c r="G91" s="77"/>
    </row>
    <row r="92" spans="2:7" ht="12.75">
      <c r="B92" s="67"/>
      <c r="C92" s="65"/>
      <c r="D92" s="65"/>
      <c r="E92" s="70"/>
      <c r="F92" s="65"/>
      <c r="G92" s="77"/>
    </row>
    <row r="93" spans="2:7" ht="12.75">
      <c r="B93" s="78"/>
      <c r="C93" s="79"/>
      <c r="D93" s="79"/>
      <c r="E93" s="70"/>
      <c r="F93" s="65"/>
      <c r="G93" s="77"/>
    </row>
    <row r="94" spans="2:7" ht="12.75">
      <c r="B94" s="78"/>
      <c r="C94" s="79"/>
      <c r="D94" s="79"/>
      <c r="E94" s="70"/>
      <c r="F94" s="65"/>
      <c r="G94" s="77"/>
    </row>
    <row r="95" spans="2:7" ht="12.75">
      <c r="B95" s="67"/>
      <c r="C95" s="65"/>
      <c r="D95" s="65"/>
      <c r="E95" s="70"/>
      <c r="F95" s="65"/>
      <c r="G95" s="77"/>
    </row>
    <row r="96" spans="2:7" ht="12.75">
      <c r="B96" s="67"/>
      <c r="C96" s="65"/>
      <c r="D96" s="65"/>
      <c r="E96" s="70"/>
      <c r="F96" s="65"/>
      <c r="G96" s="77"/>
    </row>
    <row r="97" spans="2:7" ht="12.75">
      <c r="B97" s="67"/>
      <c r="C97" s="65"/>
      <c r="D97" s="65"/>
      <c r="E97" s="70"/>
      <c r="F97" s="65"/>
      <c r="G97" s="77"/>
    </row>
    <row r="98" spans="2:7" ht="12.75">
      <c r="B98" s="78"/>
      <c r="C98" s="79"/>
      <c r="D98" s="79"/>
      <c r="E98" s="70"/>
      <c r="F98" s="65"/>
      <c r="G98" s="77"/>
    </row>
    <row r="99" spans="2:7" ht="12.75">
      <c r="B99" s="67"/>
      <c r="C99" s="65"/>
      <c r="D99" s="65"/>
      <c r="E99" s="70"/>
      <c r="F99" s="65"/>
      <c r="G99" s="77"/>
    </row>
    <row r="100" spans="2:7" ht="12.75">
      <c r="B100" s="67"/>
      <c r="C100" s="65"/>
      <c r="D100" s="65"/>
      <c r="E100" s="70"/>
      <c r="F100" s="65"/>
      <c r="G100" s="77"/>
    </row>
    <row r="101" spans="2:7" ht="12.75">
      <c r="B101" s="78"/>
      <c r="C101" s="79"/>
      <c r="D101" s="79"/>
      <c r="E101" s="70"/>
      <c r="F101" s="65"/>
      <c r="G101" s="77"/>
    </row>
    <row r="102" spans="2:7" ht="12.75">
      <c r="B102" s="67"/>
      <c r="C102" s="65"/>
      <c r="D102" s="65"/>
      <c r="E102" s="70"/>
      <c r="F102" s="65"/>
      <c r="G102" s="77"/>
    </row>
    <row r="103" spans="2:7" ht="12.75">
      <c r="B103" s="67"/>
      <c r="C103" s="65"/>
      <c r="D103" s="65"/>
      <c r="E103" s="70"/>
      <c r="F103" s="65"/>
      <c r="G103" s="77"/>
    </row>
    <row r="104" spans="2:7" ht="12.75">
      <c r="B104" s="78"/>
      <c r="C104" s="79"/>
      <c r="D104" s="79"/>
      <c r="E104" s="70"/>
      <c r="F104" s="65"/>
      <c r="G104" s="77"/>
    </row>
    <row r="105" spans="2:7" ht="12.75">
      <c r="B105" s="67"/>
      <c r="C105" s="79"/>
      <c r="D105" s="79"/>
      <c r="E105" s="70"/>
      <c r="F105" s="65"/>
      <c r="G105" s="77"/>
    </row>
    <row r="106" spans="2:7" ht="12.75">
      <c r="B106" s="67"/>
      <c r="C106" s="65"/>
      <c r="D106" s="65"/>
      <c r="E106" s="70"/>
      <c r="F106" s="65"/>
      <c r="G106" s="77"/>
    </row>
    <row r="107" spans="2:7" ht="12.75">
      <c r="B107" s="67"/>
      <c r="C107" s="79"/>
      <c r="D107" s="79"/>
      <c r="E107" s="70"/>
      <c r="F107" s="65"/>
      <c r="G107" s="77"/>
    </row>
    <row r="108" spans="2:7" ht="12.75">
      <c r="B108" s="67"/>
      <c r="C108" s="79"/>
      <c r="D108" s="79"/>
      <c r="E108" s="70"/>
      <c r="F108" s="65"/>
      <c r="G108" s="77"/>
    </row>
    <row r="109" spans="2:7" ht="12.75">
      <c r="B109" s="67"/>
      <c r="C109" s="79"/>
      <c r="D109" s="79"/>
      <c r="E109" s="70"/>
      <c r="F109" s="65"/>
      <c r="G109" s="77"/>
    </row>
    <row r="110" spans="2:7" ht="12.75">
      <c r="B110" s="67"/>
      <c r="C110" s="79"/>
      <c r="D110" s="79"/>
      <c r="E110" s="70"/>
      <c r="F110" s="65"/>
      <c r="G110" s="77"/>
    </row>
  </sheetData>
  <printOptions horizontalCentered="1"/>
  <pageMargins left="0.15748031496062992" right="0.15748031496062992" top="0.3937007874015748" bottom="0.3937007874015748" header="0" footer="0.31496062992125984"/>
  <pageSetup fitToHeight="1" fitToWidth="1" horizontalDpi="300" verticalDpi="300" orientation="portrait" paperSize="9" scale="90" r:id="rId3"/>
  <headerFooter alignWithMargins="0">
    <oddHeader>&amp;R&amp;"Arial,Bold"&amp;UAppendix  2</oddHeader>
    <oddFooter>&amp;L&amp;F&amp;R&amp;D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C12" sqref="C12"/>
    </sheetView>
  </sheetViews>
  <sheetFormatPr defaultColWidth="9.140625" defaultRowHeight="12.75"/>
  <cols>
    <col min="1" max="1" width="45.00390625" style="110" customWidth="1"/>
    <col min="2" max="2" width="11.00390625" style="110" customWidth="1"/>
    <col min="3" max="5" width="30.7109375" style="110" customWidth="1"/>
    <col min="6" max="16384" width="9.140625" style="110" customWidth="1"/>
  </cols>
  <sheetData>
    <row r="1" ht="12.75">
      <c r="A1" s="109" t="s">
        <v>100</v>
      </c>
    </row>
    <row r="2" ht="12.75">
      <c r="A2" s="109" t="s">
        <v>89</v>
      </c>
    </row>
    <row r="4" ht="12.75">
      <c r="A4" s="27"/>
    </row>
    <row r="5" spans="1:5" ht="25.5">
      <c r="A5" s="269" t="s">
        <v>74</v>
      </c>
      <c r="B5" s="111" t="s">
        <v>75</v>
      </c>
      <c r="C5" s="269" t="s">
        <v>76</v>
      </c>
      <c r="D5" s="269" t="s">
        <v>77</v>
      </c>
      <c r="E5" s="269" t="s">
        <v>78</v>
      </c>
    </row>
    <row r="6" spans="1:5" ht="12.75">
      <c r="A6" s="270"/>
      <c r="B6" s="112" t="s">
        <v>1348</v>
      </c>
      <c r="C6" s="270"/>
      <c r="D6" s="270"/>
      <c r="E6" s="270"/>
    </row>
    <row r="7" spans="1:5" ht="24.75" customHeight="1">
      <c r="A7" s="113" t="s">
        <v>79</v>
      </c>
      <c r="B7" s="116">
        <v>2.121</v>
      </c>
      <c r="C7" s="114"/>
      <c r="D7" s="114"/>
      <c r="E7" s="115" t="s">
        <v>80</v>
      </c>
    </row>
    <row r="8" spans="1:5" ht="24.75" customHeight="1">
      <c r="A8" s="113" t="s">
        <v>1573</v>
      </c>
      <c r="B8" s="116">
        <v>0.55</v>
      </c>
      <c r="C8" s="114"/>
      <c r="D8" s="114"/>
      <c r="E8" s="115" t="s">
        <v>81</v>
      </c>
    </row>
    <row r="9" spans="1:5" ht="24.75" customHeight="1">
      <c r="A9" s="113" t="s">
        <v>422</v>
      </c>
      <c r="B9" s="116">
        <v>0.145</v>
      </c>
      <c r="C9" s="114"/>
      <c r="D9" s="114"/>
      <c r="E9" s="115" t="s">
        <v>1201</v>
      </c>
    </row>
    <row r="10" spans="1:5" ht="24.75" customHeight="1">
      <c r="A10" s="113" t="s">
        <v>85</v>
      </c>
      <c r="B10" s="116">
        <v>0.175</v>
      </c>
      <c r="C10" s="115"/>
      <c r="D10" s="115" t="s">
        <v>102</v>
      </c>
      <c r="E10" s="117" t="s">
        <v>105</v>
      </c>
    </row>
    <row r="11" spans="1:5" ht="24.75" customHeight="1">
      <c r="A11" s="113" t="s">
        <v>82</v>
      </c>
      <c r="B11" s="116">
        <v>1</v>
      </c>
      <c r="C11" s="115" t="s">
        <v>1531</v>
      </c>
      <c r="D11" s="115" t="s">
        <v>1557</v>
      </c>
      <c r="E11" s="117">
        <v>38412</v>
      </c>
    </row>
    <row r="12" spans="1:5" ht="24.75" customHeight="1">
      <c r="A12" s="113" t="s">
        <v>83</v>
      </c>
      <c r="B12" s="116">
        <v>0.4</v>
      </c>
      <c r="C12" s="115"/>
      <c r="D12" s="115"/>
      <c r="E12" s="117" t="s">
        <v>1529</v>
      </c>
    </row>
    <row r="13" spans="1:5" ht="24.75" customHeight="1">
      <c r="A13" s="113" t="s">
        <v>84</v>
      </c>
      <c r="B13" s="116">
        <v>0.25</v>
      </c>
      <c r="C13" s="115" t="s">
        <v>101</v>
      </c>
      <c r="D13" s="115" t="s">
        <v>1559</v>
      </c>
      <c r="E13" s="117" t="s">
        <v>1558</v>
      </c>
    </row>
    <row r="14" spans="1:5" ht="24.75" customHeight="1">
      <c r="A14" s="113" t="s">
        <v>86</v>
      </c>
      <c r="B14" s="116">
        <v>1.39</v>
      </c>
      <c r="C14" s="115"/>
      <c r="D14" s="115"/>
      <c r="E14" s="117">
        <v>38412</v>
      </c>
    </row>
    <row r="15" spans="1:5" ht="24.75" customHeight="1">
      <c r="A15" s="113" t="s">
        <v>87</v>
      </c>
      <c r="B15" s="116">
        <v>0.25</v>
      </c>
      <c r="C15" s="115"/>
      <c r="D15" s="115"/>
      <c r="E15" s="117">
        <v>38412</v>
      </c>
    </row>
    <row r="16" spans="1:5" ht="24.75" customHeight="1">
      <c r="A16" s="113" t="s">
        <v>88</v>
      </c>
      <c r="B16" s="116">
        <v>1</v>
      </c>
      <c r="C16" s="115" t="s">
        <v>103</v>
      </c>
      <c r="D16" s="115" t="s">
        <v>104</v>
      </c>
      <c r="E16" s="117">
        <v>38412</v>
      </c>
    </row>
    <row r="17" spans="1:5" ht="24.75" customHeight="1">
      <c r="A17" s="113" t="s">
        <v>1530</v>
      </c>
      <c r="B17" s="116">
        <v>0.1</v>
      </c>
      <c r="C17" s="115"/>
      <c r="D17" s="115"/>
      <c r="E17" s="117">
        <v>38412</v>
      </c>
    </row>
  </sheetData>
  <mergeCells count="4">
    <mergeCell ref="A5:A6"/>
    <mergeCell ref="C5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&amp;R&amp;"Arial,Bold"&amp;UAppendix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M26"/>
  <sheetViews>
    <sheetView showGridLines="0" tabSelected="1" workbookViewId="0" topLeftCell="A1">
      <selection activeCell="K20" sqref="K20"/>
    </sheetView>
  </sheetViews>
  <sheetFormatPr defaultColWidth="9.140625" defaultRowHeight="12.75"/>
  <cols>
    <col min="1" max="1" width="5.7109375" style="57" customWidth="1"/>
    <col min="2" max="2" width="12.8515625" style="57" customWidth="1"/>
    <col min="3" max="5" width="5.7109375" style="57" customWidth="1"/>
    <col min="6" max="6" width="28.28125" style="57" customWidth="1"/>
    <col min="7" max="7" width="8.140625" style="57" customWidth="1"/>
    <col min="8" max="8" width="3.421875" style="57" customWidth="1"/>
    <col min="9" max="9" width="9.7109375" style="57" customWidth="1"/>
    <col min="10" max="10" width="2.8515625" style="57" customWidth="1"/>
    <col min="11" max="11" width="8.140625" style="57" customWidth="1"/>
    <col min="12" max="12" width="2.421875" style="57" customWidth="1"/>
    <col min="13" max="13" width="37.7109375" style="57" customWidth="1"/>
    <col min="14" max="14" width="5.7109375" style="57" customWidth="1"/>
    <col min="15" max="15" width="11.8515625" style="57" customWidth="1"/>
    <col min="16" max="17" width="5.7109375" style="57" customWidth="1"/>
    <col min="18" max="16384" width="9.140625" style="27" customWidth="1"/>
  </cols>
  <sheetData>
    <row r="3" ht="12.75">
      <c r="B3" s="63" t="s">
        <v>1574</v>
      </c>
    </row>
    <row r="4" ht="12.75">
      <c r="B4" s="2"/>
    </row>
    <row r="6" spans="2:13" ht="12.75">
      <c r="B6" s="63" t="s">
        <v>1353</v>
      </c>
      <c r="G6" s="2"/>
      <c r="I6" s="60" t="s">
        <v>1354</v>
      </c>
      <c r="J6" s="2"/>
      <c r="K6" s="2"/>
      <c r="M6" s="60" t="s">
        <v>1355</v>
      </c>
    </row>
    <row r="7" spans="2:11" ht="6" customHeight="1">
      <c r="B7" s="63"/>
      <c r="G7" s="2"/>
      <c r="H7" s="1"/>
      <c r="I7" s="2"/>
      <c r="J7" s="2"/>
      <c r="K7" s="2"/>
    </row>
    <row r="8" spans="7:13" ht="12" customHeight="1">
      <c r="G8" s="60" t="s">
        <v>1380</v>
      </c>
      <c r="H8" s="63"/>
      <c r="I8" s="60" t="s">
        <v>1425</v>
      </c>
      <c r="J8" s="63"/>
      <c r="K8" s="60" t="s">
        <v>1351</v>
      </c>
      <c r="M8" s="60" t="s">
        <v>1356</v>
      </c>
    </row>
    <row r="9" spans="7:11" ht="12" customHeight="1">
      <c r="G9" s="60"/>
      <c r="H9" s="63"/>
      <c r="I9" s="60" t="s">
        <v>1357</v>
      </c>
      <c r="J9" s="63"/>
      <c r="K9" s="60"/>
    </row>
    <row r="10" spans="7:11" ht="12.75">
      <c r="G10" s="1" t="s">
        <v>1348</v>
      </c>
      <c r="H10" s="2"/>
      <c r="I10" s="1" t="s">
        <v>1348</v>
      </c>
      <c r="J10" s="2"/>
      <c r="K10" s="1" t="s">
        <v>1348</v>
      </c>
    </row>
    <row r="11" spans="7:11" ht="12.75">
      <c r="G11" s="58"/>
      <c r="I11" s="58"/>
      <c r="K11" s="58"/>
    </row>
    <row r="12" spans="2:11" ht="12.75">
      <c r="B12" s="63" t="s">
        <v>1381</v>
      </c>
      <c r="G12" s="80"/>
      <c r="H12" s="59"/>
      <c r="I12" s="81"/>
      <c r="J12" s="59"/>
      <c r="K12" s="81"/>
    </row>
    <row r="13" spans="7:11" ht="12.75">
      <c r="G13" s="59"/>
      <c r="H13" s="59"/>
      <c r="I13" s="59"/>
      <c r="J13" s="59"/>
      <c r="K13" s="59"/>
    </row>
    <row r="14" spans="1:13" ht="12.75">
      <c r="A14" s="67"/>
      <c r="B14" s="13" t="s">
        <v>1122</v>
      </c>
      <c r="G14" s="107">
        <v>0.224</v>
      </c>
      <c r="H14" s="107"/>
      <c r="I14" s="107">
        <v>0.505</v>
      </c>
      <c r="J14" s="107"/>
      <c r="K14" s="107">
        <f>SUM(G14:I14)</f>
        <v>0.729</v>
      </c>
      <c r="M14" s="82" t="s">
        <v>1123</v>
      </c>
    </row>
    <row r="15" spans="1:13" ht="12.75">
      <c r="A15" s="67"/>
      <c r="B15" s="13" t="s">
        <v>1124</v>
      </c>
      <c r="G15" s="107">
        <v>0.29</v>
      </c>
      <c r="H15" s="107"/>
      <c r="I15" s="107">
        <v>0.306</v>
      </c>
      <c r="J15" s="107"/>
      <c r="K15" s="107">
        <f>SUM(G15:I15)</f>
        <v>0.596</v>
      </c>
      <c r="M15" s="82" t="s">
        <v>1126</v>
      </c>
    </row>
    <row r="16" spans="1:13" ht="12.75">
      <c r="A16" s="67"/>
      <c r="B16" s="13" t="s">
        <v>1125</v>
      </c>
      <c r="G16" s="107">
        <v>0.088</v>
      </c>
      <c r="H16" s="107"/>
      <c r="I16" s="107">
        <v>0.004</v>
      </c>
      <c r="J16" s="107"/>
      <c r="K16" s="107">
        <f>SUM(G16:I16)</f>
        <v>0.092</v>
      </c>
      <c r="M16" s="82" t="s">
        <v>1127</v>
      </c>
    </row>
    <row r="17" spans="1:13" ht="12.75">
      <c r="A17" s="67"/>
      <c r="B17" s="13" t="s">
        <v>1128</v>
      </c>
      <c r="G17" s="107">
        <v>0.347</v>
      </c>
      <c r="H17" s="107"/>
      <c r="I17" s="107">
        <v>0.038</v>
      </c>
      <c r="J17" s="107"/>
      <c r="K17" s="107">
        <f>SUM(G17:I17)</f>
        <v>0.38499999999999995</v>
      </c>
      <c r="M17" s="82" t="s">
        <v>1127</v>
      </c>
    </row>
    <row r="18" spans="1:13" ht="12.75">
      <c r="A18" s="67"/>
      <c r="B18" s="13" t="s">
        <v>1129</v>
      </c>
      <c r="G18" s="107">
        <v>0.088</v>
      </c>
      <c r="H18" s="107"/>
      <c r="I18" s="107">
        <v>0.003</v>
      </c>
      <c r="J18" s="107"/>
      <c r="K18" s="107">
        <f>SUM(G18:I18)</f>
        <v>0.091</v>
      </c>
      <c r="M18" s="82" t="s">
        <v>1130</v>
      </c>
    </row>
    <row r="19" spans="7:13" ht="12.75">
      <c r="G19" s="107"/>
      <c r="H19" s="59"/>
      <c r="I19" s="107"/>
      <c r="J19" s="59"/>
      <c r="K19" s="107"/>
      <c r="M19" s="82"/>
    </row>
    <row r="20" spans="7:11" ht="13.5" thickBot="1">
      <c r="G20" s="224">
        <f>SUM(G12:G19)</f>
        <v>1.037</v>
      </c>
      <c r="H20" s="83"/>
      <c r="I20" s="224">
        <f>SUM(I12:I19)</f>
        <v>0.856</v>
      </c>
      <c r="J20" s="83"/>
      <c r="K20" s="224">
        <f>SUM(K12:K19)</f>
        <v>1.893</v>
      </c>
    </row>
    <row r="21" ht="13.5" thickTop="1"/>
    <row r="23" ht="12.75">
      <c r="C23" s="27"/>
    </row>
    <row r="24" ht="12.75">
      <c r="C24" s="27"/>
    </row>
    <row r="25" ht="12.75">
      <c r="C25" s="251"/>
    </row>
    <row r="26" ht="12.75">
      <c r="C26" s="251"/>
    </row>
  </sheetData>
  <printOptions/>
  <pageMargins left="0.7480314960629921" right="0.7480314960629921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&amp;R&amp;"Arial,Bold"&amp;UAppendix  4
&amp;"Arial,Regular"&amp;U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perspkidd</cp:lastModifiedBy>
  <cp:lastPrinted>2004-11-25T13:08:53Z</cp:lastPrinted>
  <dcterms:created xsi:type="dcterms:W3CDTF">1998-11-26T10:24:39Z</dcterms:created>
  <dcterms:modified xsi:type="dcterms:W3CDTF">2004-11-25T13:08:54Z</dcterms:modified>
  <cp:category/>
  <cp:version/>
  <cp:contentType/>
  <cp:contentStatus/>
</cp:coreProperties>
</file>