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2120" windowHeight="9120" activeTab="2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1'!$C$1:$AD$880</definedName>
    <definedName name="_xlnm.Print_Area" localSheetId="1">'Appendix 2'!$B$2:$G$53</definedName>
    <definedName name="_xlnm.Print_Area" localSheetId="3">'Appendix 4'!$B$3:$M$23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W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X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AA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Q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I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K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L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E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U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C70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04/05
</t>
        </r>
      </text>
    </comment>
    <comment ref="D39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D64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D64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5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75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76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</t>
        </r>
      </text>
    </comment>
    <comment ref="D61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1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9001 unsupported borrowing</t>
        </r>
      </text>
    </comment>
    <comment ref="AF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M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AN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R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S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D65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D6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H15" authorId="0">
      <text>
        <r>
          <rPr>
            <sz val="8"/>
            <rFont val="Tahoma"/>
            <family val="2"/>
          </rPr>
          <t xml:space="preserve">this line represents HMRF monthly cash flow estimate
it is used to cash flow all private sector programme pro rata
</t>
        </r>
      </text>
    </comment>
    <comment ref="H84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Z566" authorId="0">
      <text>
        <r>
          <rPr>
            <sz val="8"/>
            <rFont val="Tahoma"/>
            <family val="2"/>
          </rPr>
          <t>Barton moss contribution
0.036  goes through at year end as an appropriation, not as a contribution</t>
        </r>
      </text>
    </comment>
    <comment ref="C15" authorId="0">
      <text>
        <r>
          <rPr>
            <sz val="8"/>
            <rFont val="Tahoma"/>
            <family val="0"/>
          </rPr>
          <t xml:space="preserve">Loan to the Higher Broughton Partnership
£0.466m capital receipts of unsupported borrowing if no receipts available
</t>
        </r>
      </text>
    </comment>
    <comment ref="AA705" authorId="0">
      <text>
        <r>
          <rPr>
            <b/>
            <sz val="8"/>
            <rFont val="Tahoma"/>
            <family val="0"/>
          </rPr>
          <t>90k cap receipts from windfall footpath repairs pot</t>
        </r>
      </text>
    </comment>
    <comment ref="AA795" authorId="0">
      <text>
        <r>
          <rPr>
            <b/>
            <sz val="8"/>
            <rFont val="Tahoma"/>
            <family val="0"/>
          </rPr>
          <t>90k to detroit bridge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3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2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3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3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3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  <comment ref="F2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</commentList>
</comments>
</file>

<file path=xl/sharedStrings.xml><?xml version="1.0" encoding="utf-8"?>
<sst xmlns="http://schemas.openxmlformats.org/spreadsheetml/2006/main" count="1839" uniqueCount="1377">
  <si>
    <t>ARMITAGE PH 2 ENVIRONMENT</t>
  </si>
  <si>
    <t>H50246</t>
  </si>
  <si>
    <t>PEEL PH 3 ENVIRONMENT</t>
  </si>
  <si>
    <t>H50804</t>
  </si>
  <si>
    <t>MELBOURNE ST ENVIRONMENT</t>
  </si>
  <si>
    <t>Order Code</t>
  </si>
  <si>
    <t>H50963</t>
  </si>
  <si>
    <t>PACKAGE 1</t>
  </si>
  <si>
    <t>H50964</t>
  </si>
  <si>
    <t>PACKAGE 2</t>
  </si>
  <si>
    <t>H50965</t>
  </si>
  <si>
    <t>PACKAGE 3</t>
  </si>
  <si>
    <t>H50966</t>
  </si>
  <si>
    <t>PACKAGE 4</t>
  </si>
  <si>
    <t>H50716</t>
  </si>
  <si>
    <t>2.8m purchase and receipt not shown on programme or receipts forecast</t>
  </si>
  <si>
    <t>PACKAGE 5</t>
  </si>
  <si>
    <t>H50717</t>
  </si>
  <si>
    <t>PACKAGE 6</t>
  </si>
  <si>
    <t>H50718</t>
  </si>
  <si>
    <t>PACKAGE 7</t>
  </si>
  <si>
    <t>H50719</t>
  </si>
  <si>
    <t>PACKAGE 8</t>
  </si>
  <si>
    <t>H51203</t>
  </si>
  <si>
    <t>PACKAGE 9</t>
  </si>
  <si>
    <t>H51204</t>
  </si>
  <si>
    <t>PACKAGE 10</t>
  </si>
  <si>
    <t>H51205</t>
  </si>
  <si>
    <t>PACKAGE 11</t>
  </si>
  <si>
    <t>H50875</t>
  </si>
  <si>
    <t>PACKAGE 12</t>
  </si>
  <si>
    <t>H50876</t>
  </si>
  <si>
    <t>PACKAGE 13</t>
  </si>
  <si>
    <t>H50877</t>
  </si>
  <si>
    <t>PACKAGE 14</t>
  </si>
  <si>
    <t>H50878</t>
  </si>
  <si>
    <t>PACKAGE 15</t>
  </si>
  <si>
    <t>H50879</t>
  </si>
  <si>
    <t>PACKAGE 16</t>
  </si>
  <si>
    <t>H50916</t>
  </si>
  <si>
    <t>PACKAGE 17</t>
  </si>
  <si>
    <t>H50917</t>
  </si>
  <si>
    <t>PACKAGE 18</t>
  </si>
  <si>
    <t>H50913</t>
  </si>
  <si>
    <t>PACKAGE 19</t>
  </si>
  <si>
    <t>H50914</t>
  </si>
  <si>
    <t>PACKAGE 20</t>
  </si>
  <si>
    <t>H50915</t>
  </si>
  <si>
    <t>PACKAGE 21</t>
  </si>
  <si>
    <t>H50918</t>
  </si>
  <si>
    <t>PACKAGE 22</t>
  </si>
  <si>
    <t>H50919</t>
  </si>
  <si>
    <t>PACKAGE 23</t>
  </si>
  <si>
    <t>H50659</t>
  </si>
  <si>
    <t>CITYWIDE INSULATION</t>
  </si>
  <si>
    <t>DECENT HOMES PROGRAMME</t>
  </si>
  <si>
    <t>h50710</t>
  </si>
  <si>
    <t>Thorn Court Partnering scheme</t>
  </si>
  <si>
    <t>h50868</t>
  </si>
  <si>
    <t>Ash Drive</t>
  </si>
  <si>
    <t>h50641 d</t>
  </si>
  <si>
    <t>h50641 f</t>
  </si>
  <si>
    <t>Jackson St</t>
  </si>
  <si>
    <t>h50812</t>
  </si>
  <si>
    <t>Racecourse ph 1/2</t>
  </si>
  <si>
    <t>h50954</t>
  </si>
  <si>
    <t>Fairhope</t>
  </si>
  <si>
    <t>h51107</t>
  </si>
  <si>
    <t>Higher Irlam ph 4</t>
  </si>
  <si>
    <t>h50869</t>
  </si>
  <si>
    <t xml:space="preserve">Pendleway </t>
  </si>
  <si>
    <t>h50711</t>
  </si>
  <si>
    <t>Kinder</t>
  </si>
  <si>
    <t>h50957</t>
  </si>
  <si>
    <t>Hereford  rd/Salisbury rd</t>
  </si>
  <si>
    <t>h50908</t>
  </si>
  <si>
    <t>St Georges Ct/Peel Pk Cres</t>
  </si>
  <si>
    <t>h50955</t>
  </si>
  <si>
    <t>De Traffords</t>
  </si>
  <si>
    <t>PROGRAMMED WORKS-BUILDINGS</t>
  </si>
  <si>
    <t>h50652</t>
  </si>
  <si>
    <t>structural repairs</t>
  </si>
  <si>
    <t>h50653</t>
  </si>
  <si>
    <t>concrete floors</t>
  </si>
  <si>
    <t>h50654</t>
  </si>
  <si>
    <t>solid fuel heating</t>
  </si>
  <si>
    <t>h51106</t>
  </si>
  <si>
    <t xml:space="preserve">Admiralty / LHDC </t>
  </si>
  <si>
    <t>h50956</t>
  </si>
  <si>
    <t>Peel Green</t>
  </si>
  <si>
    <t>h50910</t>
  </si>
  <si>
    <t>Eccles/L Hulton</t>
  </si>
  <si>
    <t>h50867</t>
  </si>
  <si>
    <t>Green Avenue ,Swinton</t>
  </si>
  <si>
    <t>PROGRAMMED WORKS-SERVICES</t>
  </si>
  <si>
    <t>h50814</t>
  </si>
  <si>
    <t>Greyfriars Court</t>
  </si>
  <si>
    <t>h50815</t>
  </si>
  <si>
    <t>Black/Whitefriars</t>
  </si>
  <si>
    <t>h50712</t>
  </si>
  <si>
    <t>Apple/Pear/Peach</t>
  </si>
  <si>
    <t>h50709</t>
  </si>
  <si>
    <t xml:space="preserve">Lombardy Court </t>
  </si>
  <si>
    <t>PROGRAMMED WORKS-OTHER</t>
  </si>
  <si>
    <t>h51105</t>
  </si>
  <si>
    <t>elderly adaptations</t>
  </si>
  <si>
    <t>h50813</t>
  </si>
  <si>
    <t>salford north office improvements</t>
  </si>
  <si>
    <t>2002/3 NEW STARTS</t>
  </si>
  <si>
    <t>H54101</t>
  </si>
  <si>
    <t>DISTRICT HEATING-LONDON ST / LISSADEL ST</t>
  </si>
  <si>
    <t>H51108</t>
  </si>
  <si>
    <t>2003/4 NEW STARTS</t>
  </si>
  <si>
    <t>WHIT LANE  / LITTLETON RD</t>
  </si>
  <si>
    <t>h50550</t>
  </si>
  <si>
    <t>LITTLETON RD WATER PIPES</t>
  </si>
  <si>
    <t>H54104</t>
  </si>
  <si>
    <t>LITTLETON RD INTERNALS</t>
  </si>
  <si>
    <t>H54105</t>
  </si>
  <si>
    <t>WHIT LANE INTERNALS</t>
  </si>
  <si>
    <t>H54106</t>
  </si>
  <si>
    <t>LITTLETON RD EXTERNALS</t>
  </si>
  <si>
    <t>H54107</t>
  </si>
  <si>
    <t>WHIT LANE EXTERNALS</t>
  </si>
  <si>
    <t xml:space="preserve">S.R.B. 2 </t>
  </si>
  <si>
    <t>H50103</t>
  </si>
  <si>
    <t>LOWER BROUGHTON  ENV'L  PH 1</t>
  </si>
  <si>
    <t>H50122</t>
  </si>
  <si>
    <t>LOWER BROUGHTON  ENV'L  PH 2</t>
  </si>
  <si>
    <t>H50124</t>
  </si>
  <si>
    <t>LOWER BROUGHTON  ENV'L  PH 3A/4A</t>
  </si>
  <si>
    <t>H50123</t>
  </si>
  <si>
    <t>LOWER BROUGHTON  ENV'L  PH 3</t>
  </si>
  <si>
    <t>H50125</t>
  </si>
  <si>
    <t>LOWER BROUGHTON  ENV'L  PH 4</t>
  </si>
  <si>
    <t>H50126</t>
  </si>
  <si>
    <t>LOWER BROUGHTON TEMP. TREATM'T PH 2</t>
  </si>
  <si>
    <t>SPIKE ISLAND</t>
  </si>
  <si>
    <t>H50183</t>
  </si>
  <si>
    <t>SPIKE ISLAND-PTP PH 1</t>
  </si>
  <si>
    <t>H50185</t>
  </si>
  <si>
    <t xml:space="preserve">          DISTRICT HEATING  PH 1/2</t>
  </si>
  <si>
    <t>H50186</t>
  </si>
  <si>
    <t xml:space="preserve"> ENVIRONMENT  PH 1</t>
  </si>
  <si>
    <t>H50187</t>
  </si>
  <si>
    <t xml:space="preserve">     ENVIRONMENT  PH 2</t>
  </si>
  <si>
    <t>H50188</t>
  </si>
  <si>
    <t xml:space="preserve">     ENVIRONMENT  PH 3</t>
  </si>
  <si>
    <t>H50189</t>
  </si>
  <si>
    <t xml:space="preserve">                            ENVIRONMENT  PH 4</t>
  </si>
  <si>
    <t>H50190</t>
  </si>
  <si>
    <t xml:space="preserve">                            ENVIRONMENT  PH 5</t>
  </si>
  <si>
    <t>H50191</t>
  </si>
  <si>
    <t xml:space="preserve">                            ENVIRONMENT  PH 6</t>
  </si>
  <si>
    <t>H50192</t>
  </si>
  <si>
    <t xml:space="preserve">                            ENVIRONMENT  PH 7</t>
  </si>
  <si>
    <t>H53001</t>
  </si>
  <si>
    <t>Mark Avenue Flats</t>
  </si>
  <si>
    <t>TMO Kitchens - Albion, Appletree</t>
  </si>
  <si>
    <t>H50604</t>
  </si>
  <si>
    <t>H50222</t>
  </si>
  <si>
    <t>Kenyon Environment Phase 3</t>
  </si>
  <si>
    <t>COMMITMENTS</t>
  </si>
  <si>
    <t>H53178</t>
  </si>
  <si>
    <t>ALDER PARK</t>
  </si>
  <si>
    <t>H53179</t>
  </si>
  <si>
    <t xml:space="preserve">FALCON CRES </t>
  </si>
  <si>
    <t>H53188</t>
  </si>
  <si>
    <t>LANCASTER RD</t>
  </si>
  <si>
    <t>H53189</t>
  </si>
  <si>
    <t>BROOKHOUSE PH 1</t>
  </si>
  <si>
    <t>H53192</t>
  </si>
  <si>
    <t>BROOKHOUSE PH 2</t>
  </si>
  <si>
    <t>H53193</t>
  </si>
  <si>
    <t xml:space="preserve">TOOTAL DR PH 1ACKWORTH RD/TEMPLE DR </t>
  </si>
  <si>
    <t>H53194</t>
  </si>
  <si>
    <t xml:space="preserve"> TOOTAL DR PH 2 / VICTORY RD</t>
  </si>
  <si>
    <t>H53200</t>
  </si>
  <si>
    <t>ADVANCE FEES / SURVEYS</t>
  </si>
  <si>
    <t>H53203</t>
  </si>
  <si>
    <t>CLOUGHFIELD</t>
  </si>
  <si>
    <t>H53204</t>
  </si>
  <si>
    <t>HOSPITAL ROAD</t>
  </si>
  <si>
    <t>H53205</t>
  </si>
  <si>
    <t>D00634</t>
  </si>
  <si>
    <t>Cadishead Way Stage 1 Repairs</t>
  </si>
  <si>
    <t>D00709</t>
  </si>
  <si>
    <t>A57 Irlam Bus Stop Improvements</t>
  </si>
  <si>
    <t>D00938</t>
  </si>
  <si>
    <t>D00939</t>
  </si>
  <si>
    <t>Roe Green Loopline</t>
  </si>
  <si>
    <t>Fairhills Rd Puffin Crossing Contribution</t>
  </si>
  <si>
    <t>Mandley Park</t>
  </si>
  <si>
    <t>S05113</t>
  </si>
  <si>
    <t>Homes to Trust</t>
  </si>
  <si>
    <t>MARK AVENUE FLATS</t>
  </si>
  <si>
    <t>H52030</t>
  </si>
  <si>
    <t>Plum Tree Court</t>
  </si>
  <si>
    <t>S01003</t>
  </si>
  <si>
    <t>Sutherland House Refurbishment</t>
  </si>
  <si>
    <t>S06152</t>
  </si>
  <si>
    <t>Craig Hall Re-roofing</t>
  </si>
  <si>
    <t>S05112</t>
  </si>
  <si>
    <t>Day Services Modernisation</t>
  </si>
  <si>
    <t>S05151</t>
  </si>
  <si>
    <t>Capital Programme 2005/06</t>
  </si>
  <si>
    <t>Resources 2005/06</t>
  </si>
  <si>
    <t>Modernising Intermediate Care</t>
  </si>
  <si>
    <t>Purchase of Meadow Road Campus</t>
  </si>
  <si>
    <t>Purchase of Hulme St Nursery</t>
  </si>
  <si>
    <t>Red City Developments</t>
  </si>
  <si>
    <t>Underprogramming **</t>
  </si>
  <si>
    <t>F00033</t>
  </si>
  <si>
    <t>Princes Park Tennis Court</t>
  </si>
  <si>
    <t>F10001</t>
  </si>
  <si>
    <t>Parr Fold Pavillion</t>
  </si>
  <si>
    <t>F00010</t>
  </si>
  <si>
    <t>Lightoaks Park NOF</t>
  </si>
  <si>
    <t>Albert Park</t>
  </si>
  <si>
    <t>Beechfarm Lottery</t>
  </si>
  <si>
    <t xml:space="preserve">Princes Park </t>
  </si>
  <si>
    <t>F00017</t>
  </si>
  <si>
    <t>Croal Irwell  Access/Fencing section 106</t>
  </si>
  <si>
    <t>Sharp Street, Walkden section 106</t>
  </si>
  <si>
    <t>Peel Park section 106</t>
  </si>
  <si>
    <t>F00004</t>
  </si>
  <si>
    <t>Cemetery Roadways</t>
  </si>
  <si>
    <t>Cemetery Headstones</t>
  </si>
  <si>
    <t>F00024</t>
  </si>
  <si>
    <t>E00017</t>
  </si>
  <si>
    <t>E00514</t>
  </si>
  <si>
    <t>E04852-3</t>
  </si>
  <si>
    <t>SCE Crofters Heights</t>
  </si>
  <si>
    <t>F000</t>
  </si>
  <si>
    <t>F00035</t>
  </si>
  <si>
    <t>0.064 srb, 0.1 NRF,</t>
  </si>
  <si>
    <t>S05052</t>
  </si>
  <si>
    <t>Barton Moss Expansion</t>
  </si>
  <si>
    <t>E05703</t>
  </si>
  <si>
    <t>w00001</t>
  </si>
  <si>
    <t>e05030</t>
  </si>
  <si>
    <t>e05031</t>
  </si>
  <si>
    <t>e05033</t>
  </si>
  <si>
    <t>e05037</t>
  </si>
  <si>
    <t>e05038</t>
  </si>
  <si>
    <t>Broughton Pool ICT suite</t>
  </si>
  <si>
    <t>E05032</t>
  </si>
  <si>
    <t>Roller Hockey Relocation</t>
  </si>
  <si>
    <t>E05041</t>
  </si>
  <si>
    <t>SPACE Dukesgate Primary</t>
  </si>
  <si>
    <t>E05007</t>
  </si>
  <si>
    <t>adjusted via control 04/05</t>
  </si>
  <si>
    <t>partially adjusted via control 04/05</t>
  </si>
  <si>
    <t>Land adjacent to Hope Hospital</t>
  </si>
  <si>
    <t>Community Centre Kenyon Way</t>
  </si>
  <si>
    <t>St Johns playing field, Walkden</t>
  </si>
  <si>
    <t>Sale of Shares Modesole</t>
  </si>
  <si>
    <t>Land at Egerton St/ East Ordsall Lane</t>
  </si>
  <si>
    <t>Legendary Properties</t>
  </si>
  <si>
    <t>Dealing with the Disadvantaged DoT Neighbourhood Road Safety Initiative grant</t>
  </si>
  <si>
    <t>.005 e&amp;L rcco, 0.004 arts and leisure RCCO, see sept mon depts</t>
  </si>
  <si>
    <t>F00025</t>
  </si>
  <si>
    <t>F00011</t>
  </si>
  <si>
    <t>F00013</t>
  </si>
  <si>
    <t>Langworthy Area - Traffic Calming Scheme</t>
  </si>
  <si>
    <t>chapel st receipts slipped from 0405</t>
  </si>
  <si>
    <t>section 106, 38 chapel st receipts 0405</t>
  </si>
  <si>
    <t>Lledr Hall Outdoor Education Centre</t>
  </si>
  <si>
    <t>NEW ISLINGTON</t>
  </si>
  <si>
    <t>H53206</t>
  </si>
  <si>
    <t>MOSSFIELD RD</t>
  </si>
  <si>
    <t>H53208</t>
  </si>
  <si>
    <t>WARDLEY</t>
  </si>
  <si>
    <t>H53209</t>
  </si>
  <si>
    <t>BROOKHOUSE PH 3</t>
  </si>
  <si>
    <t>H53210</t>
  </si>
  <si>
    <t>CASTLEWAY</t>
  </si>
  <si>
    <t>H53212</t>
  </si>
  <si>
    <t>GROSVENOR ph 1</t>
  </si>
  <si>
    <t>H53214</t>
  </si>
  <si>
    <t>LANE END</t>
  </si>
  <si>
    <t>H53215</t>
  </si>
  <si>
    <t>CAWDOR ST</t>
  </si>
  <si>
    <t>H53216</t>
  </si>
  <si>
    <t>BRENTWOOD</t>
  </si>
  <si>
    <t>H53217</t>
  </si>
  <si>
    <t>DUCHY PH 1</t>
  </si>
  <si>
    <t>H53218</t>
  </si>
  <si>
    <t>DUCHY PH 2</t>
  </si>
  <si>
    <t>H53219</t>
  </si>
  <si>
    <t>HILL TOP PH 1</t>
  </si>
  <si>
    <t>H53220</t>
  </si>
  <si>
    <t>HILL TOP PH 2/3</t>
  </si>
  <si>
    <t>November</t>
  </si>
  <si>
    <t>2004/5 new start allocation</t>
  </si>
  <si>
    <t>h52001 a</t>
  </si>
  <si>
    <t>Available for new starts</t>
  </si>
  <si>
    <t>h52009</t>
  </si>
  <si>
    <t>Hanover Court</t>
  </si>
  <si>
    <t>h52024</t>
  </si>
  <si>
    <t>Florence St</t>
  </si>
  <si>
    <t>h52018</t>
  </si>
  <si>
    <t>Kestrel Avenue</t>
  </si>
  <si>
    <t>h52019</t>
  </si>
  <si>
    <t>Wheatersfield</t>
  </si>
  <si>
    <t>H52006</t>
  </si>
  <si>
    <t xml:space="preserve">Little Hulton Cottage Flats </t>
  </si>
  <si>
    <t>H52003</t>
  </si>
  <si>
    <t xml:space="preserve">Poets Corner </t>
  </si>
  <si>
    <t>h52008</t>
  </si>
  <si>
    <t>Ladywell Avenue</t>
  </si>
  <si>
    <t>h52028</t>
  </si>
  <si>
    <t>Cedar Place</t>
  </si>
  <si>
    <t>H52029</t>
  </si>
  <si>
    <t>Aspinall Drive</t>
  </si>
  <si>
    <t>H52011</t>
  </si>
  <si>
    <t>Kingsley/Granville</t>
  </si>
  <si>
    <t>H52012</t>
  </si>
  <si>
    <t>Wheaters/Jessamine</t>
  </si>
  <si>
    <t>Schemes funded from previous</t>
  </si>
  <si>
    <t>years allocations</t>
  </si>
  <si>
    <t>h52023</t>
  </si>
  <si>
    <t xml:space="preserve">Lime Court </t>
  </si>
  <si>
    <t>h52025</t>
  </si>
  <si>
    <t>Meadowside</t>
  </si>
  <si>
    <t>h52026</t>
  </si>
  <si>
    <t>Hulton Ave launderette</t>
  </si>
  <si>
    <t>h52027</t>
  </si>
  <si>
    <t>Windsor Avenue</t>
  </si>
  <si>
    <t>h52020</t>
  </si>
  <si>
    <t>Shakespeare Rd / Blantyre St</t>
  </si>
  <si>
    <t>H51002</t>
  </si>
  <si>
    <t>Birley Court</t>
  </si>
  <si>
    <t>H52010</t>
  </si>
  <si>
    <t>Duchy Bank</t>
  </si>
  <si>
    <t>H51001</t>
  </si>
  <si>
    <t>Ruthin Court</t>
  </si>
  <si>
    <t>RETENTIONS / BALANCES</t>
  </si>
  <si>
    <t>OLD SCHEMES</t>
  </si>
  <si>
    <t>H50624</t>
  </si>
  <si>
    <t>ENERGY EFF.LEAD PIPES</t>
  </si>
  <si>
    <t>H50482</t>
  </si>
  <si>
    <t>D00107</t>
  </si>
  <si>
    <t>A6 Crescent/Irwell Place</t>
  </si>
  <si>
    <t>D00111</t>
  </si>
  <si>
    <t>20mph Zone - Westwood Park Winton</t>
  </si>
  <si>
    <t>D00125</t>
  </si>
  <si>
    <t>A580 East Lancs/Worsley Road</t>
  </si>
  <si>
    <t>D00166</t>
  </si>
  <si>
    <t>Newearth Rd - Traffic Calming</t>
  </si>
  <si>
    <t>D00174</t>
  </si>
  <si>
    <t>City wide Speed Management Policy</t>
  </si>
  <si>
    <t>D00600</t>
  </si>
  <si>
    <t>A666 Bolton Rd (Hospital Rd - Bridge St)</t>
  </si>
  <si>
    <t>D00603</t>
  </si>
  <si>
    <t>A576 Great Cheetham St</t>
  </si>
  <si>
    <t>D00604</t>
  </si>
  <si>
    <t>A572 Worsley Road (Greenleach - Ringlow)</t>
  </si>
  <si>
    <t>D00611</t>
  </si>
  <si>
    <t>A576 Cromwell Rd (Lissadel St - Lwr Broughton)</t>
  </si>
  <si>
    <t>D00613</t>
  </si>
  <si>
    <t>A5082 Armitage Av (M/cr Rd - Boundary)</t>
  </si>
  <si>
    <t>D00624</t>
  </si>
  <si>
    <t>S/l Westbourne Ave</t>
  </si>
  <si>
    <t>D00625</t>
  </si>
  <si>
    <t>S/lL Langley Road</t>
  </si>
  <si>
    <t>D00920</t>
  </si>
  <si>
    <t>Barton Rd/Barton Ln/Peel Rd UTC wk</t>
  </si>
  <si>
    <t>D02151</t>
  </si>
  <si>
    <t>D07016</t>
  </si>
  <si>
    <t>D07024</t>
  </si>
  <si>
    <t>D01425&amp;D01450</t>
  </si>
  <si>
    <t>D03501</t>
  </si>
  <si>
    <t>D03502</t>
  </si>
  <si>
    <t>D03503</t>
  </si>
  <si>
    <t>Physical Design Strategy</t>
  </si>
  <si>
    <t>D03505</t>
  </si>
  <si>
    <t>D03506</t>
  </si>
  <si>
    <t>D06108</t>
  </si>
  <si>
    <t>Demolition Windsor School</t>
  </si>
  <si>
    <t>D07013</t>
  </si>
  <si>
    <t>D07260-D07299</t>
  </si>
  <si>
    <t>D07401</t>
  </si>
  <si>
    <t>D07400</t>
  </si>
  <si>
    <t>D08044</t>
  </si>
  <si>
    <t>COMMUNITY, HEALTH AND SOCIAL CARE -TOTAL</t>
  </si>
  <si>
    <t>COMMUNITY, HEALTH AND SOCIAL CARE</t>
  </si>
  <si>
    <t>HIGH RISE PROG       -CANON GREEN</t>
  </si>
  <si>
    <t>H50504</t>
  </si>
  <si>
    <t>BEECH ST ENVIRONMENT PH 1</t>
  </si>
  <si>
    <t>2000/1 NEW STARTS (DSD)</t>
  </si>
  <si>
    <t>H50562</t>
  </si>
  <si>
    <t>TOOTAL DRIVE PHASE 2</t>
  </si>
  <si>
    <t>H50564</t>
  </si>
  <si>
    <t>MEADOWGATE</t>
  </si>
  <si>
    <t>H50584</t>
  </si>
  <si>
    <t>VALLEY ENVIRONMENT PH 1</t>
  </si>
  <si>
    <t>H50585</t>
  </si>
  <si>
    <t>CLIVELEY ENVIRONMENT PH 1</t>
  </si>
  <si>
    <t>H50295</t>
  </si>
  <si>
    <t>GOODIERS DRIVE HIGHWAY WORKS</t>
  </si>
  <si>
    <t>2001/2  NEW STARTS (HPMS)</t>
  </si>
  <si>
    <t>H50702</t>
  </si>
  <si>
    <t>STRUCTURAL REPAIRS-THORN COURT</t>
  </si>
  <si>
    <t>H50534</t>
  </si>
  <si>
    <t xml:space="preserve">SECURITY-ARGOSY/BEECH/MITCH/SCOTCH </t>
  </si>
  <si>
    <t>H50706</t>
  </si>
  <si>
    <t>SECURITY-WROTHAM  CLOSE</t>
  </si>
  <si>
    <t>H50705</t>
  </si>
  <si>
    <t xml:space="preserve">SECURITY-ALBION / SPRUCE </t>
  </si>
  <si>
    <t>H50636</t>
  </si>
  <si>
    <t>0.122 football foundation</t>
  </si>
  <si>
    <t>greening greater manchester</t>
  </si>
  <si>
    <t>0.138 insurance money</t>
  </si>
  <si>
    <t>0.016 bmx bandits community contribution</t>
  </si>
  <si>
    <t xml:space="preserve">0.014 boundary road irlam s106 use as capital receipts this year, </t>
  </si>
  <si>
    <t>SOLID FUEL - WORSLEY</t>
  </si>
  <si>
    <t xml:space="preserve"> 2002/3 NEW STARTS (HPMS-SERVICES)</t>
  </si>
  <si>
    <t>H50559</t>
  </si>
  <si>
    <t>SECURITY-HERALDIC</t>
  </si>
  <si>
    <t>H50857</t>
  </si>
  <si>
    <t>HEATING/REWIRES-WYNDHAM</t>
  </si>
  <si>
    <t>H50860</t>
  </si>
  <si>
    <t>HEATING/REWIRES-DEANS COURT</t>
  </si>
  <si>
    <t>H51104</t>
  </si>
  <si>
    <t>GAS HEATING-MOSS VALE PH 1</t>
  </si>
  <si>
    <t>H50864</t>
  </si>
  <si>
    <t>GAS HEATING-BEEHIVE</t>
  </si>
  <si>
    <t>H50572</t>
  </si>
  <si>
    <t>GAS HEATING-LANCASTER RD</t>
  </si>
  <si>
    <t>H50810</t>
  </si>
  <si>
    <t>GAS HEATING-L BROUGHTON RD</t>
  </si>
  <si>
    <t>H50811</t>
  </si>
  <si>
    <t>HEATING BOILER-ALEX GARDENS</t>
  </si>
  <si>
    <t>h50809</t>
  </si>
  <si>
    <t>SECURITY-STONEY  KNOLL/GLOVERFIELD</t>
  </si>
  <si>
    <t>h50540</t>
  </si>
  <si>
    <t>SECURITY-SOUTH KING STREET</t>
  </si>
  <si>
    <t>H50288</t>
  </si>
  <si>
    <t>SECURITY OF OPEN SPACES</t>
  </si>
  <si>
    <t xml:space="preserve">  2002/3 NEW STARTS (HPMS-BUILDING)</t>
  </si>
  <si>
    <t>H50570</t>
  </si>
  <si>
    <t xml:space="preserve">WALKWAYS-SEEDLEY TERRACE/AILSA </t>
  </si>
  <si>
    <t>H50807</t>
  </si>
  <si>
    <t>KITCHENS-L BROUGHTON PH 1/TOOTAL PH 1</t>
  </si>
  <si>
    <t>H50620</t>
  </si>
  <si>
    <t>INTERNALS-ADMIRALTY</t>
  </si>
  <si>
    <t>H50571</t>
  </si>
  <si>
    <t>INTERNALS-MEADOWGATE</t>
  </si>
  <si>
    <t>H50859</t>
  </si>
  <si>
    <t>INTERNALS-CLIVELEY</t>
  </si>
  <si>
    <t>H50904</t>
  </si>
  <si>
    <t>INTERNALS-AMBLECOTE</t>
  </si>
  <si>
    <t xml:space="preserve">    EA SCHEMES</t>
  </si>
  <si>
    <t>H50402</t>
  </si>
  <si>
    <t>AMERSHAM ST PHASE 1</t>
  </si>
  <si>
    <t>H50488</t>
  </si>
  <si>
    <t>ALBION TOWERS</t>
  </si>
  <si>
    <t>H50422</t>
  </si>
  <si>
    <t>FITZWARREN COURT REFURBISHMENT</t>
  </si>
  <si>
    <t>H50285</t>
  </si>
  <si>
    <t>ORDSALL-LINDEN GR PH 3(NWO PH 2)</t>
  </si>
  <si>
    <t>H50287</t>
  </si>
  <si>
    <t xml:space="preserve"> ORDSALL-BURNETT (NWO PH 3)</t>
  </si>
  <si>
    <t xml:space="preserve">   SRB /CC SCHEMES</t>
  </si>
  <si>
    <t>H50083</t>
  </si>
  <si>
    <t>BROADWALK WEST PHASE 2</t>
  </si>
  <si>
    <t>H50223</t>
  </si>
  <si>
    <t>PEEL ENVIRONMENT PH 2</t>
  </si>
  <si>
    <t>H50230</t>
  </si>
  <si>
    <t>AMBLECOTE ENVIRONMENT</t>
  </si>
  <si>
    <t>H50228</t>
  </si>
  <si>
    <t>MT SKIP ENVIRONMENT</t>
  </si>
  <si>
    <t>H50251</t>
  </si>
  <si>
    <t>PEEL HOMES FOR ALL</t>
  </si>
  <si>
    <t>H50263</t>
  </si>
  <si>
    <t>ARMITAGE  ENVIRONMENT PH 1</t>
  </si>
  <si>
    <t>2005/06 New Starts - Partners</t>
  </si>
  <si>
    <t>2005/06 New Starts Citywide</t>
  </si>
  <si>
    <t>2004/05 New Starts</t>
  </si>
  <si>
    <t>2004/05 Insulation Schemes</t>
  </si>
  <si>
    <t>2003/04 New Starts</t>
  </si>
  <si>
    <t>SRB/Estate Action/ CC Schemes 1</t>
  </si>
  <si>
    <t>PPR Programme</t>
  </si>
  <si>
    <t>Page 11</t>
  </si>
  <si>
    <t>Demolitions</t>
  </si>
  <si>
    <t>Page 12</t>
  </si>
  <si>
    <t>Retentions/Balances</t>
  </si>
  <si>
    <t>Page 13</t>
  </si>
  <si>
    <t>New Deal - Kersal/Charlestown</t>
  </si>
  <si>
    <t>C00060 and</t>
  </si>
  <si>
    <t>Schools networking lease</t>
  </si>
  <si>
    <t>C00054</t>
  </si>
  <si>
    <t>F00022</t>
  </si>
  <si>
    <t>F00032</t>
  </si>
  <si>
    <t>F00018</t>
  </si>
  <si>
    <t>F00007</t>
  </si>
  <si>
    <t>F00023</t>
  </si>
  <si>
    <t>F00014</t>
  </si>
  <si>
    <t>F00008</t>
  </si>
  <si>
    <t>Pendleton Church Area Study</t>
  </si>
  <si>
    <t>Disposal Buille Hill</t>
  </si>
  <si>
    <t>Disposal PCL/Chapel Street</t>
  </si>
  <si>
    <t>Demolition New Croft</t>
  </si>
  <si>
    <t>Demolition Ordsall District Centre</t>
  </si>
  <si>
    <t>Disposal Chapel Wharf</t>
  </si>
  <si>
    <t>Land Adjacent to Duchy Inn</t>
  </si>
  <si>
    <t>Adelphi St and Meadow Road</t>
  </si>
  <si>
    <t>D06110</t>
  </si>
  <si>
    <t>D06116</t>
  </si>
  <si>
    <t>D06118</t>
  </si>
  <si>
    <t>D06122</t>
  </si>
  <si>
    <t>D06123</t>
  </si>
  <si>
    <t>D06126</t>
  </si>
  <si>
    <t>D06127</t>
  </si>
  <si>
    <t>D07014</t>
  </si>
  <si>
    <t>Salford Shopping Food Retail Development</t>
  </si>
  <si>
    <t>d08000</t>
  </si>
  <si>
    <t>d08024</t>
  </si>
  <si>
    <t>** Shown as funded by capital receipts, if receipts are unavailable unsupported borrowing will be used</t>
  </si>
  <si>
    <t>d08026</t>
  </si>
  <si>
    <t>d08030</t>
  </si>
  <si>
    <t>d08034</t>
  </si>
  <si>
    <t>d08035</t>
  </si>
  <si>
    <t>d08036</t>
  </si>
  <si>
    <t>d08040</t>
  </si>
  <si>
    <t>d08041</t>
  </si>
  <si>
    <t>d08045</t>
  </si>
  <si>
    <t>d08048</t>
  </si>
  <si>
    <t>d08051</t>
  </si>
  <si>
    <t>d08052</t>
  </si>
  <si>
    <t>d08055</t>
  </si>
  <si>
    <t>d08059</t>
  </si>
  <si>
    <t>d08060</t>
  </si>
  <si>
    <t>d08064</t>
  </si>
  <si>
    <t>d08066</t>
  </si>
  <si>
    <t>d08067</t>
  </si>
  <si>
    <t>Little Hulton Childrens Centres</t>
  </si>
  <si>
    <t>Larkhill Childrens Centres</t>
  </si>
  <si>
    <t>Winton Nursery</t>
  </si>
  <si>
    <t>Barton Moss Neighbourhood Nursery</t>
  </si>
  <si>
    <t>Belvedere</t>
  </si>
  <si>
    <t>Irlam Childrens Centres</t>
  </si>
  <si>
    <t>North Swinton Childrens Centres</t>
  </si>
  <si>
    <t>Apr 05</t>
  </si>
  <si>
    <t>Mar 06</t>
  </si>
  <si>
    <t>Aug 06</t>
  </si>
  <si>
    <t>Feb 04</t>
  </si>
  <si>
    <t>Dec 05</t>
  </si>
  <si>
    <t>Aug 07</t>
  </si>
  <si>
    <t>Apr 01</t>
  </si>
  <si>
    <t>May 04</t>
  </si>
  <si>
    <t>Aug 05</t>
  </si>
  <si>
    <t>June 05</t>
  </si>
  <si>
    <t xml:space="preserve">Chapel st receipts </t>
  </si>
  <si>
    <t>Economic Development</t>
  </si>
  <si>
    <t>Cultural Quarter</t>
  </si>
  <si>
    <t>Public Realm Improvements</t>
  </si>
  <si>
    <t>Chapel Street Walking Plan</t>
  </si>
  <si>
    <t>Contribution to URC Business Plan</t>
  </si>
  <si>
    <t>Private sector housing land at elton st £0.300m Unsupported borrowing or capital receipts, if private sector housing underspends may be able to fund it within existing resource</t>
  </si>
  <si>
    <t>Private sector housing premises at Great Clowes St £0.690m Unsupported borrowing or capital receipts, if private sector housing underspends may be able to fund it within existing resource</t>
  </si>
  <si>
    <t>Private sector housing loan to partnership £0.466m Unsupported borrowing or capital receipts, if private sector housing underspends may be able to fund it within existing resource</t>
  </si>
  <si>
    <t>CHILDREN'S SERVICES</t>
  </si>
  <si>
    <t>CHILDREN'S SERVICES - TOTAL</t>
  </si>
  <si>
    <t>Orthodox Jewish school</t>
  </si>
  <si>
    <t>Clarendon</t>
  </si>
  <si>
    <t>CSD officers</t>
  </si>
  <si>
    <t>Irlam bulkead</t>
  </si>
  <si>
    <t>Irlam changing rooms</t>
  </si>
  <si>
    <t>Portfolio manager</t>
  </si>
  <si>
    <t>Fit City Worsley</t>
  </si>
  <si>
    <t>Eccles Recreation Grd/ Albert Park MUGA</t>
  </si>
  <si>
    <t>Winton park</t>
  </si>
  <si>
    <t>D00510</t>
  </si>
  <si>
    <t>Network Rail Bridges</t>
  </si>
  <si>
    <t>Beechfarm playing fields drainage</t>
  </si>
  <si>
    <t>F00037</t>
  </si>
  <si>
    <t>S06157</t>
  </si>
  <si>
    <t>Waterside 05/06 car parking</t>
  </si>
  <si>
    <t>Clarendon Fitness centre</t>
  </si>
  <si>
    <t>Bridgewater FC faclity</t>
  </si>
  <si>
    <t>Talmud Torah</t>
  </si>
  <si>
    <t>E05040</t>
  </si>
  <si>
    <t>E05034</t>
  </si>
  <si>
    <t>E05043</t>
  </si>
  <si>
    <t>E05021</t>
  </si>
  <si>
    <t>E05019</t>
  </si>
  <si>
    <t>E05027</t>
  </si>
  <si>
    <t>E05011</t>
  </si>
  <si>
    <t>E05036</t>
  </si>
  <si>
    <t>E05015</t>
  </si>
  <si>
    <t>Land and Premises at Great Clowes St/Clarence St</t>
  </si>
  <si>
    <t>A5082 Cleggs Lane, A6 Bolton Boundary PRN re-surfacing</t>
  </si>
  <si>
    <t>Capital receipts or unsupported borrowing</t>
  </si>
  <si>
    <t>Block 3 and contribution from Tesco section 278</t>
  </si>
  <si>
    <t>Fairhills Road, Irlam - proposed puffin crossing</t>
  </si>
  <si>
    <t>contribution from Tesco as part of Section 278 agreement, other half of scheme funded from block 3</t>
  </si>
  <si>
    <t>Monton Canal Bridge Repainting</t>
  </si>
  <si>
    <t>Block 3</t>
  </si>
  <si>
    <t>Pedestrian Crossing Facilities - Station Road Swinton</t>
  </si>
  <si>
    <t>Belvedere Early Years Centre - Childrens Centre</t>
  </si>
  <si>
    <t>Early Years Development Children's Partnership Grant</t>
  </si>
  <si>
    <t>Commercial Premises off Fitzwarren St</t>
  </si>
  <si>
    <t>SRB 5</t>
  </si>
  <si>
    <t>Block Improvements Seedley West Phase 3</t>
  </si>
  <si>
    <t>Block Improvements Langworthy Road Shops phase 2</t>
  </si>
  <si>
    <t>Capital receipts/supported borrowing</t>
  </si>
  <si>
    <t>Chapel Street/URC (04/05 Slippage)</t>
  </si>
  <si>
    <t>NWDA Headroom projects</t>
  </si>
  <si>
    <t>Duchy Road Public House</t>
  </si>
  <si>
    <t>March</t>
  </si>
  <si>
    <t>S05106</t>
  </si>
  <si>
    <t>The Limes - Fire Safety</t>
  </si>
  <si>
    <t>S05107</t>
  </si>
  <si>
    <t>White Meadows - Fire Safety</t>
  </si>
  <si>
    <t>S09008</t>
  </si>
  <si>
    <t>Day Services Modernisation Unallocated</t>
  </si>
  <si>
    <t>S05109</t>
  </si>
  <si>
    <t>The Limes - Bathroom/laundry/anc space impr</t>
  </si>
  <si>
    <t>S06054</t>
  </si>
  <si>
    <t>Alexandra House - Bathroom  &amp; Toilets</t>
  </si>
  <si>
    <t>S06155</t>
  </si>
  <si>
    <t>Waterside - Replacement boiler</t>
  </si>
  <si>
    <t>S08061</t>
  </si>
  <si>
    <t>Crompton House - remodelling of garage</t>
  </si>
  <si>
    <t>S09010</t>
  </si>
  <si>
    <t>Brierley CC - Demolition stables/gym</t>
  </si>
  <si>
    <t>S09011</t>
  </si>
  <si>
    <t>Wardley CC - Car park/paved areas resurface</t>
  </si>
  <si>
    <t>S09012</t>
  </si>
  <si>
    <t>Wardley CC - Replacement boiler</t>
  </si>
  <si>
    <t>S09013</t>
  </si>
  <si>
    <t>Boothstown CC - Replacement boiler</t>
  </si>
  <si>
    <t>S08056</t>
  </si>
  <si>
    <t>Improving Information Management 2004/2005</t>
  </si>
  <si>
    <t>S08058</t>
  </si>
  <si>
    <t>Improving Information Management 2005/2006</t>
  </si>
  <si>
    <t>S04006</t>
  </si>
  <si>
    <t>Mental Health - S C E (2004/2005)</t>
  </si>
  <si>
    <t>S09003</t>
  </si>
  <si>
    <t>Boothstown / Worsley C C Refurb - Retention</t>
  </si>
  <si>
    <t>S09005</t>
  </si>
  <si>
    <t>Wardley Community Centre - Retention</t>
  </si>
  <si>
    <t>S09007</t>
  </si>
  <si>
    <t>Womens Centre</t>
  </si>
  <si>
    <t>S00001</t>
  </si>
  <si>
    <t>Alterations to Properties - Foster Carers</t>
  </si>
  <si>
    <t>S08057</t>
  </si>
  <si>
    <t>Integrated Children's Services 2004/5</t>
  </si>
  <si>
    <t>S08059</t>
  </si>
  <si>
    <t>Integrated Children's Services 2005/6</t>
  </si>
  <si>
    <t>S06051</t>
  </si>
  <si>
    <t>Humphrey Booth L B - Booth's Charity Funded</t>
  </si>
  <si>
    <t>S06052</t>
  </si>
  <si>
    <t>Humphrey Booth Ordsall - Booth's Charity Funded</t>
  </si>
  <si>
    <t>S09101</t>
  </si>
  <si>
    <t>STASH Day Centre</t>
  </si>
  <si>
    <t>.020 mental health contribution</t>
  </si>
  <si>
    <t>.002 community contribution</t>
  </si>
  <si>
    <t>.006 community contribution</t>
  </si>
  <si>
    <t>.019 humphrey booth</t>
  </si>
  <si>
    <t>.031 humphrey booth</t>
  </si>
  <si>
    <t>S06151</t>
  </si>
  <si>
    <t>Waterside Resource Centre</t>
  </si>
  <si>
    <t>NEW DEAL/ NORTH IRWELL</t>
  </si>
  <si>
    <t>Higher Broughton</t>
  </si>
  <si>
    <t>CLAREMONT / WEASTE</t>
  </si>
  <si>
    <t>ENTERPRISE PARK</t>
  </si>
  <si>
    <t>ORDSALL</t>
  </si>
  <si>
    <t>NON AREA BASED</t>
  </si>
  <si>
    <t>OUTER AREA / CITYWIDE</t>
  </si>
  <si>
    <t>PRIVATE SECTOR HOUSING</t>
  </si>
  <si>
    <t>PRIVATE SECTOR HOUSING -TOTAL</t>
  </si>
  <si>
    <t>PUBLIC SECTOR HOUSING</t>
  </si>
  <si>
    <t>PUBLIC SECTOR HOUSING - TOTAL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</si>
  <si>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</si>
  <si>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</si>
  <si>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</si>
  <si>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</si>
  <si>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</si>
  <si>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</si>
  <si>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r>
      <t>TIMESCALES-RECEIPTS IN EXCESS OF £100,000</t>
    </r>
    <r>
      <rPr>
        <sz val="10"/>
        <rFont val="Arial"/>
        <family val="2"/>
      </rPr>
      <t xml:space="preserve"> </t>
    </r>
  </si>
  <si>
    <t>Sports Village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</si>
  <si>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</si>
  <si>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</si>
  <si>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</si>
  <si>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</si>
  <si>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</si>
  <si>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</si>
  <si>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</si>
  <si>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</si>
  <si>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</si>
  <si>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</si>
  <si>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</si>
  <si>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</si>
  <si>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</si>
  <si>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D00003</t>
  </si>
  <si>
    <t>Cadishead Way Stage 1</t>
  </si>
  <si>
    <t>Timing adjustments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</si>
  <si>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</si>
  <si>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</si>
  <si>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</si>
  <si>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</si>
  <si>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</si>
  <si>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Disposal Costs</t>
  </si>
  <si>
    <t>LIVIA Community Engagement Programme</t>
  </si>
  <si>
    <t>Salford Innovation Park</t>
  </si>
  <si>
    <t xml:space="preserve">Lead Member Corporate Services - 2005/06 Tender Approvals </t>
  </si>
  <si>
    <t>2006/07</t>
  </si>
  <si>
    <t xml:space="preserve">CAPITAL RECEIPTS 2005/06 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</si>
  <si>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2005/06 ESTIMATED CAPITAL RECEIPTS</t>
    </r>
  </si>
  <si>
    <t>2005/06 Estimate</t>
  </si>
  <si>
    <t>Implementing e government</t>
  </si>
  <si>
    <t>Arts and Leisure - Broughton Pool additional scheme</t>
  </si>
  <si>
    <t>Arts and Leisure - Irlam Pool additional scheme</t>
  </si>
  <si>
    <t>emerson house dev servs</t>
  </si>
  <si>
    <t>Improvement Works Swinton Civic Centre</t>
  </si>
  <si>
    <t>Ordsall Rec drainage</t>
  </si>
  <si>
    <t xml:space="preserve">DDA arts and leisure </t>
  </si>
  <si>
    <t>Office Refurbishments</t>
  </si>
  <si>
    <t>City wide investment</t>
  </si>
  <si>
    <t>Community Envrionment Programme</t>
  </si>
  <si>
    <t>Highway and Community Safety</t>
  </si>
  <si>
    <t>Site Assembly</t>
  </si>
  <si>
    <t>Mini Bus</t>
  </si>
  <si>
    <t>Environmental/Shop Parade Improvements</t>
  </si>
  <si>
    <t>Charlestown and Lower Kersal in Bloom</t>
  </si>
  <si>
    <t>Alleygating</t>
  </si>
  <si>
    <t>Riverside Bowling and Leisure Activity Centre</t>
  </si>
  <si>
    <t>Manchester Bolton Bury Canal</t>
  </si>
  <si>
    <t>Ordsall Neighbourhood office</t>
  </si>
  <si>
    <t>Eccles Town Centre Slipped from 04/05</t>
  </si>
  <si>
    <t>Detroit Bridge</t>
  </si>
  <si>
    <t>City Academy Access Road</t>
  </si>
  <si>
    <t xml:space="preserve">Disabled Access Improvements </t>
  </si>
  <si>
    <t>Newlands (LIVIA)</t>
  </si>
  <si>
    <t>Investment in the Highways</t>
  </si>
  <si>
    <t>Surplus Place Removal Radclyffe/St Clements</t>
  </si>
  <si>
    <t>NDS Condition/Modernisation</t>
  </si>
  <si>
    <t>Capitalised salaries</t>
  </si>
  <si>
    <t>Devolved Formual Capital</t>
  </si>
  <si>
    <t>Out of School Childcare</t>
  </si>
  <si>
    <t>Beacon Resource Centre</t>
  </si>
  <si>
    <t>PFI 2</t>
  </si>
  <si>
    <t>Specialist colleges</t>
  </si>
  <si>
    <t>Education SB adjustment</t>
  </si>
  <si>
    <t>Education contribution to cap'n of revenue</t>
  </si>
  <si>
    <t>Stay Inn, Trinity Way</t>
  </si>
  <si>
    <t>265/273 &amp; 281,Chapel Street</t>
  </si>
  <si>
    <t>Wilburn Street Basin</t>
  </si>
  <si>
    <t>Ontario Basin</t>
  </si>
  <si>
    <t>Langwothy / Seedley</t>
  </si>
  <si>
    <t>Advance Fees</t>
  </si>
  <si>
    <t>Actual spend</t>
  </si>
  <si>
    <t xml:space="preserve">HOUSING TOTAL </t>
  </si>
  <si>
    <t>Lledr Hall</t>
  </si>
  <si>
    <t>St Ambrose Barlow</t>
  </si>
  <si>
    <t xml:space="preserve">SURPLUS/(SHORTFALL) IN CAPITAL RECEIPTS </t>
  </si>
  <si>
    <t>RECEIPTS BROUGHT FORWARD</t>
  </si>
  <si>
    <t>SCE (R)</t>
  </si>
  <si>
    <t>Single capital pot</t>
  </si>
  <si>
    <t>St Patricks</t>
  </si>
  <si>
    <t>D07230-d07259</t>
  </si>
  <si>
    <t>D07200-d07229</t>
  </si>
  <si>
    <t>on sap d99999 7027</t>
  </si>
  <si>
    <t>Page 8</t>
  </si>
  <si>
    <t>Page 10</t>
  </si>
  <si>
    <t>Page 2</t>
  </si>
  <si>
    <t>Page 3</t>
  </si>
  <si>
    <t>Page 4</t>
  </si>
  <si>
    <t>Page 5</t>
  </si>
  <si>
    <t>Page 6</t>
  </si>
  <si>
    <t>Page 7</t>
  </si>
  <si>
    <t>Page 9</t>
  </si>
  <si>
    <t>D99999 7015 contains  , 0.250 highways improvement less overprogramming of 0.115</t>
  </si>
  <si>
    <t>D00050</t>
  </si>
  <si>
    <t>Resources and underprogramming</t>
  </si>
  <si>
    <t>General Fund - Properties and Land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</si>
  <si>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</si>
  <si>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</si>
  <si>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</si>
  <si>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</si>
  <si>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</si>
  <si>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</si>
  <si>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</si>
  <si>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</si>
  <si>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</si>
  <si>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</si>
  <si>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</si>
  <si>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</si>
  <si>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HIGHWAYS</t>
  </si>
  <si>
    <t>ARTS &amp; LEISURE</t>
  </si>
  <si>
    <t>ERDF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</si>
  <si>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</si>
  <si>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</si>
  <si>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</si>
  <si>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</si>
  <si>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</si>
  <si>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</si>
  <si>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</si>
  <si>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</si>
  <si>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</si>
  <si>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</si>
  <si>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</si>
  <si>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</si>
  <si>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</si>
  <si>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The Albion</t>
  </si>
  <si>
    <t>Schools Access Initiative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</si>
  <si>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</si>
  <si>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</si>
  <si>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</si>
  <si>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</si>
  <si>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</si>
  <si>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ARTS &amp; LEISURE - TOTAL</t>
  </si>
  <si>
    <t>ENVIRONMENTAL SERVICES</t>
  </si>
  <si>
    <t>Capitalisation of Revenue</t>
  </si>
  <si>
    <t>TOTAL</t>
  </si>
  <si>
    <t>Housing Land &amp; Property</t>
  </si>
  <si>
    <t>Wentworth High School</t>
  </si>
  <si>
    <t xml:space="preserve">Public Transport Schemes </t>
  </si>
  <si>
    <t>Schemes to Assist Cycling</t>
  </si>
  <si>
    <t>Buille Hill Park Restoration</t>
  </si>
  <si>
    <t>Gateway</t>
  </si>
  <si>
    <t>Minor Works Fund</t>
  </si>
  <si>
    <t>Less - Costs to be set against capital receipts</t>
  </si>
  <si>
    <t>Cadishead Way Stage 2</t>
  </si>
  <si>
    <t>NWDA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</si>
  <si>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</si>
  <si>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</si>
  <si>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</si>
  <si>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</si>
  <si>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</si>
  <si>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</si>
  <si>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</si>
  <si>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</si>
  <si>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</si>
  <si>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</si>
  <si>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</si>
  <si>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</si>
  <si>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</si>
  <si>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</si>
  <si>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</si>
  <si>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</si>
  <si>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</si>
  <si>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</si>
  <si>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Playgroup Conversion</t>
  </si>
  <si>
    <t>Primary Review</t>
  </si>
  <si>
    <t>2005/06</t>
  </si>
  <si>
    <t>Manchester/Salford Inner Relief Route</t>
  </si>
  <si>
    <t>Parks Infrastructure Improvements</t>
  </si>
  <si>
    <t>ENVIRONMENTAL SERVICES - TOTAL</t>
  </si>
  <si>
    <t>Cleavley Athletic Track</t>
  </si>
  <si>
    <t xml:space="preserve">CHIEF EXECUTIVE </t>
  </si>
  <si>
    <t>CHIEF EXECUTIVE - TOTAL</t>
  </si>
  <si>
    <t>EP</t>
  </si>
  <si>
    <t>lift enabling fund</t>
  </si>
  <si>
    <t>programme including unfunded from 03/04</t>
  </si>
  <si>
    <t>summary</t>
  </si>
  <si>
    <t>PROGRAMME TOTAL</t>
  </si>
  <si>
    <t>empty c00060</t>
  </si>
  <si>
    <t>Moorfield House</t>
  </si>
  <si>
    <t>Profiled spend</t>
  </si>
  <si>
    <t>RING FENCED</t>
  </si>
  <si>
    <t xml:space="preserve">SAP </t>
  </si>
  <si>
    <t>REF</t>
  </si>
  <si>
    <t>D00004</t>
  </si>
  <si>
    <t>D00005</t>
  </si>
  <si>
    <t>Lightoaks Park</t>
  </si>
  <si>
    <t>Data Centre</t>
  </si>
  <si>
    <t>Swinton Library temporary relocation</t>
  </si>
  <si>
    <t>Replacement Council Tax system</t>
  </si>
  <si>
    <t>e governmnent grant 05/06</t>
  </si>
  <si>
    <t>disp starts here</t>
  </si>
  <si>
    <t>0.017 cont from SCL</t>
  </si>
  <si>
    <t>0.030 cont from SCL</t>
  </si>
  <si>
    <t>EFFECT OF 04/05 OUTTURN</t>
  </si>
  <si>
    <t>C00068</t>
  </si>
  <si>
    <t>C00069</t>
  </si>
  <si>
    <t>Call Centre - relocation</t>
  </si>
  <si>
    <t>Upgrading IT training rooms</t>
  </si>
  <si>
    <t>Waste Performance Efficiency Grant</t>
  </si>
  <si>
    <t>Wheeled Bins</t>
  </si>
  <si>
    <t>St Simon St</t>
  </si>
  <si>
    <t>Willowbank/Mere drive Site, Clifton.</t>
  </si>
  <si>
    <t>Land at Lane End</t>
  </si>
  <si>
    <t>Land at Ravenscraig Road</t>
  </si>
  <si>
    <t>Eccles Youth Centre</t>
  </si>
  <si>
    <t>sustrans contribution</t>
  </si>
  <si>
    <t>.118 office moves budget</t>
  </si>
  <si>
    <t>Central Salford</t>
  </si>
  <si>
    <t>Expanding Boundaries</t>
  </si>
  <si>
    <t>Recycling Bring Sites</t>
  </si>
  <si>
    <t xml:space="preserve"> 05/06 PROGRAMME TOTAL</t>
  </si>
  <si>
    <t>NET ESTIMATED RECEIPTS 05/06</t>
  </si>
  <si>
    <t>ESTIMATED RECEIPTS FOR 2005/06</t>
  </si>
  <si>
    <t>RECEIPTS REQUIRED FOR 2005/06 CAPITAL PROGRAMME</t>
  </si>
  <si>
    <t>December</t>
  </si>
  <si>
    <t>August</t>
  </si>
  <si>
    <t>CUSTOMER AND SUPPORT SERVICES</t>
  </si>
  <si>
    <t>CUSTOMER AND SUPPORT SERVICES - TOTAL</t>
  </si>
  <si>
    <t>PLANNING SERVICES</t>
  </si>
  <si>
    <t>PLANNING SERVICES - TOTAL</t>
  </si>
  <si>
    <t>Liverpool Road Eccles</t>
  </si>
  <si>
    <t>NDS 4</t>
  </si>
  <si>
    <t>adult education grant</t>
  </si>
  <si>
    <t>surestart</t>
  </si>
  <si>
    <t>Class size reduction</t>
  </si>
  <si>
    <t>ACG minor works</t>
  </si>
  <si>
    <t>VA minor works</t>
  </si>
  <si>
    <t>NHS contribution</t>
  </si>
  <si>
    <t>Efficiency Improvements</t>
  </si>
  <si>
    <t>LIVIA</t>
  </si>
  <si>
    <t>NWDA Tatton Park</t>
  </si>
  <si>
    <t>Trinity Park Chapel section 106</t>
  </si>
  <si>
    <t xml:space="preserve"> Oakwood Section 106 </t>
  </si>
  <si>
    <t>Eccles Town hall auditorium</t>
  </si>
  <si>
    <t>Countryside Programme</t>
  </si>
  <si>
    <t>Barton SES</t>
  </si>
  <si>
    <t>conserving and developing Ordsall Hall</t>
  </si>
  <si>
    <t>Quays Maintenance Office Move</t>
  </si>
  <si>
    <t>Footpath works</t>
  </si>
  <si>
    <t>relocation Tourist Inofrmation Centre</t>
  </si>
  <si>
    <t>16m MRA, 0.300m extra care housing slipped at outturn</t>
  </si>
  <si>
    <t>carryforward cont to salford central</t>
  </si>
  <si>
    <t>Improvement s to the highway network</t>
  </si>
  <si>
    <t>Highways depot</t>
  </si>
  <si>
    <t>on revenue journalled at year end</t>
  </si>
  <si>
    <t>Network and SANs upgrade</t>
  </si>
  <si>
    <t>Security Civic Centre Main Reception</t>
  </si>
  <si>
    <t>Hope Library</t>
  </si>
  <si>
    <t>Ordsall Recreation Centre</t>
  </si>
  <si>
    <t>Library service computerisation</t>
  </si>
  <si>
    <t>Winton Community  Library</t>
  </si>
  <si>
    <t xml:space="preserve">0.013 planning delivery grant, 0.010 DDA, </t>
  </si>
  <si>
    <t>section 106</t>
  </si>
  <si>
    <t>CEP grant</t>
  </si>
  <si>
    <t>child service grant</t>
  </si>
  <si>
    <t xml:space="preserve">Charlestown primary </t>
  </si>
  <si>
    <t>x</t>
  </si>
  <si>
    <t>0506</t>
  </si>
  <si>
    <t>04/05</t>
  </si>
  <si>
    <t>03/04</t>
  </si>
  <si>
    <t>02/03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</si>
  <si>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</si>
  <si>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</si>
  <si>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</si>
  <si>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</si>
  <si>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</si>
  <si>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 xml:space="preserve">shaded area is 534 timing difference in </t>
  </si>
  <si>
    <t>NOF/PE Sports</t>
  </si>
  <si>
    <t>resources due</t>
  </si>
  <si>
    <t>SPACE</t>
  </si>
  <si>
    <t>Central salford</t>
  </si>
  <si>
    <t>Chapel Wharf</t>
  </si>
  <si>
    <t>Fire insurance Moorside CP fire damage claim not finalised</t>
  </si>
  <si>
    <t>RCCO due E00037, from budget on D(or E??)6110 agreed with Dave mac to correct in new year</t>
  </si>
  <si>
    <t xml:space="preserve">Winton Community Library RCCO from dev services </t>
  </si>
  <si>
    <t>Finacc 04 timing differences</t>
  </si>
  <si>
    <t>D00500</t>
  </si>
  <si>
    <t>Bridge Inspections and  Assessments</t>
  </si>
  <si>
    <t>D00501</t>
  </si>
  <si>
    <t>Bridges general</t>
  </si>
  <si>
    <t>D00503</t>
  </si>
  <si>
    <t>Subways</t>
  </si>
  <si>
    <t>D00512</t>
  </si>
  <si>
    <t>Eccles Old Road Underpass</t>
  </si>
  <si>
    <t>D00524</t>
  </si>
  <si>
    <t>Pendleton Roundabout Parapets Ph1</t>
  </si>
  <si>
    <t>D00525</t>
  </si>
  <si>
    <t>Railtrack Incursion Works</t>
  </si>
  <si>
    <t>D00527</t>
  </si>
  <si>
    <t>Culvert Safety Improvement Programme</t>
  </si>
  <si>
    <t>D00528</t>
  </si>
  <si>
    <t>Wallness Bridge</t>
  </si>
  <si>
    <t>D00529</t>
  </si>
  <si>
    <t>West Egerton Street Bridge</t>
  </si>
  <si>
    <t>D00530</t>
  </si>
  <si>
    <t>Woden Street Footbridge</t>
  </si>
  <si>
    <t>D00531</t>
  </si>
  <si>
    <t>Eccles Road Footbridge Painting</t>
  </si>
  <si>
    <t>D00532</t>
  </si>
  <si>
    <t>Hough Lane Footbridge</t>
  </si>
  <si>
    <t>D00533</t>
  </si>
  <si>
    <t>Stott Lane Railway Bridge</t>
  </si>
  <si>
    <t>D00534</t>
  </si>
  <si>
    <t>Heywood Way Subway Infill</t>
  </si>
  <si>
    <t>-</t>
  </si>
  <si>
    <t>D00535</t>
  </si>
  <si>
    <t>Pendleton Roundabout Parapets Ph2</t>
  </si>
  <si>
    <t>D00536</t>
  </si>
  <si>
    <t>East Ordsall Lane Canal Bridge</t>
  </si>
  <si>
    <t>D00537</t>
  </si>
  <si>
    <t>Eccles Old Road Subway Drainage</t>
  </si>
  <si>
    <t>D00538</t>
  </si>
  <si>
    <t>Swinton Subway (Moorside Ramp)</t>
  </si>
  <si>
    <t>D00539</t>
  </si>
  <si>
    <t>Little Hulton Station Bridge</t>
  </si>
  <si>
    <t>D00540</t>
  </si>
  <si>
    <t>West/East Bridges, Pendleton Roundabout</t>
  </si>
  <si>
    <t>D00541</t>
  </si>
  <si>
    <t>Monton Canal Bridge</t>
  </si>
  <si>
    <t>D00542</t>
  </si>
  <si>
    <t>Mariners Canal Central Footbridge</t>
  </si>
  <si>
    <t>D00543</t>
  </si>
  <si>
    <t>Pendleton Roundabout Retaining Walls</t>
  </si>
  <si>
    <t>D00544</t>
  </si>
  <si>
    <t>Centenary Bridge Abutments</t>
  </si>
  <si>
    <t>D00601</t>
  </si>
  <si>
    <t>D00605</t>
  </si>
  <si>
    <t>BVPI Surveys</t>
  </si>
  <si>
    <t>D00606</t>
  </si>
  <si>
    <t>D00608</t>
  </si>
  <si>
    <t>Principal Road Maintenance - General</t>
  </si>
  <si>
    <t>D00610</t>
  </si>
  <si>
    <t>D00614</t>
  </si>
  <si>
    <t>Structural Maintenance of Minor Roads</t>
  </si>
  <si>
    <t>D00617</t>
  </si>
  <si>
    <t>A5066 Adelphi Street &amp; Silk Street</t>
  </si>
  <si>
    <t>D00618</t>
  </si>
  <si>
    <t>D00619</t>
  </si>
  <si>
    <t>D00620</t>
  </si>
  <si>
    <t>D00629</t>
  </si>
  <si>
    <t>Street Lighting Inventory Work</t>
  </si>
  <si>
    <t>D00630</t>
  </si>
  <si>
    <t>D00631</t>
  </si>
  <si>
    <t>Albion Way (Broad St - Regent Rd)</t>
  </si>
  <si>
    <t>D00632</t>
  </si>
  <si>
    <t>D00633</t>
  </si>
  <si>
    <t>D00101</t>
  </si>
  <si>
    <t>Anti-skid Surfacing Programme</t>
  </si>
  <si>
    <t>D00103</t>
  </si>
  <si>
    <t>Accident Investigation</t>
  </si>
  <si>
    <t>D00104</t>
  </si>
  <si>
    <t>White Lining Programme</t>
  </si>
  <si>
    <t>D00105</t>
  </si>
  <si>
    <t>Road Safety Strategy</t>
  </si>
  <si>
    <t>D00119</t>
  </si>
  <si>
    <t>Frederick Road/Camp Street</t>
  </si>
  <si>
    <t>Barton Lane Ped Improvements</t>
  </si>
  <si>
    <t>D00121</t>
  </si>
  <si>
    <t>A6 High Street/ Campbell Way</t>
  </si>
  <si>
    <t>D00141</t>
  </si>
  <si>
    <t>Moorside Rd/Wardley Ind Estate Area Sch</t>
  </si>
  <si>
    <t>D00142</t>
  </si>
  <si>
    <t>B5229 Monton Centre Scheme</t>
  </si>
  <si>
    <t>D00143</t>
  </si>
  <si>
    <t>Cadishead NW Area Safety Scheme</t>
  </si>
  <si>
    <t>D00148</t>
  </si>
  <si>
    <t>A6 Chorley Road Route Scheme</t>
  </si>
  <si>
    <t>D00161</t>
  </si>
  <si>
    <t>Trafford Road, Eccles, Speed Management</t>
  </si>
  <si>
    <t>D00172</t>
  </si>
  <si>
    <t>Kersal Area Traffic Calming</t>
  </si>
  <si>
    <t>D00173</t>
  </si>
  <si>
    <t>New Lane, Winton</t>
  </si>
  <si>
    <t>D00175</t>
  </si>
  <si>
    <t>Amendments to Early T Calming Schemes</t>
  </si>
  <si>
    <t>D00176</t>
  </si>
  <si>
    <t>Dealing with Disadvantage Initiative</t>
  </si>
  <si>
    <t>D00177</t>
  </si>
  <si>
    <t>Liverpool Rd, Cad, Speed Management</t>
  </si>
  <si>
    <t>D00178</t>
  </si>
  <si>
    <t>Greenleach Lane, Worsley</t>
  </si>
  <si>
    <t>D00179</t>
  </si>
  <si>
    <t>Oxford Road Remedial Traffic Calming</t>
  </si>
  <si>
    <t>D00180</t>
  </si>
  <si>
    <t>Langley Rd Speed Reduction Measures</t>
  </si>
  <si>
    <t>D00181</t>
  </si>
  <si>
    <t xml:space="preserve">Light Oaks Primary Safer Routes </t>
  </si>
  <si>
    <t>D00182</t>
  </si>
  <si>
    <t>St Georges High  School Safer Routes</t>
  </si>
  <si>
    <t>D00183</t>
  </si>
  <si>
    <t>Station Rd/Bolton Rd Ped'n Facilities</t>
  </si>
  <si>
    <t>D00184</t>
  </si>
  <si>
    <t>Gerald Road Area Traffic Calming</t>
  </si>
  <si>
    <t>D00185</t>
  </si>
  <si>
    <t xml:space="preserve">Partington Ln/Worsley Rd Junction </t>
  </si>
  <si>
    <t>D00186</t>
  </si>
  <si>
    <t>A666 / M60 J'n Cyclist Awareness</t>
  </si>
  <si>
    <t>D00187</t>
  </si>
  <si>
    <t>Parrin Lane/Monton Fields St Lighting</t>
  </si>
  <si>
    <t>D00703</t>
  </si>
  <si>
    <t>A56 Quality Bus Corridor</t>
  </si>
  <si>
    <t>D00708</t>
  </si>
  <si>
    <t xml:space="preserve">Central Station Study </t>
  </si>
  <si>
    <t>D00803</t>
  </si>
  <si>
    <t>Barton Cycling Facilities</t>
  </si>
  <si>
    <t>D00805</t>
  </si>
  <si>
    <t>Cycle Parking Facilities</t>
  </si>
  <si>
    <t>D00806</t>
  </si>
  <si>
    <t>Sustrans Routes</t>
  </si>
  <si>
    <t>D00807</t>
  </si>
  <si>
    <t>Cycling Projects Grant Fund</t>
  </si>
  <si>
    <t>D00808</t>
  </si>
  <si>
    <t>Tyldesley Loopline Surfacing Improv'ts</t>
  </si>
  <si>
    <t>D00809</t>
  </si>
  <si>
    <t>Cycle Parking Facilities at Schools</t>
  </si>
  <si>
    <t>D00810</t>
  </si>
  <si>
    <t>School Travel Plans</t>
  </si>
  <si>
    <t>0.023 citywide contribution</t>
  </si>
  <si>
    <t>Mar 08</t>
  </si>
  <si>
    <t>Irwell Walk, Charlestown, New Deal Cont'</t>
  </si>
  <si>
    <t>D00811</t>
  </si>
  <si>
    <t>A580 East Lancs Rd (To Wigan Boundary)</t>
  </si>
  <si>
    <t>D00901</t>
  </si>
  <si>
    <t>GM Local Transport Plan</t>
  </si>
  <si>
    <t>D00902</t>
  </si>
  <si>
    <t>Salford's Green Transport Plan</t>
  </si>
  <si>
    <t>D00903</t>
  </si>
  <si>
    <t>M60/ PRN Signing</t>
  </si>
  <si>
    <t>D00909</t>
  </si>
  <si>
    <t>AGMA Countywide Advertising</t>
  </si>
  <si>
    <t>D00912</t>
  </si>
  <si>
    <t>Disabled Facilities at Pedestrian Crossings</t>
  </si>
  <si>
    <t>D00918</t>
  </si>
  <si>
    <t>Chapel St Pedestrian Route Improve'ts</t>
  </si>
  <si>
    <t>D00923</t>
  </si>
  <si>
    <t>Little Moss Lane Works</t>
  </si>
  <si>
    <t>D00924</t>
  </si>
  <si>
    <t>Miscellaneous SRTS Works</t>
  </si>
  <si>
    <t>D00925</t>
  </si>
  <si>
    <t>GMTU Non-core Modelling Work</t>
  </si>
  <si>
    <t>D00926</t>
  </si>
  <si>
    <t>Public Rights of Way Signing</t>
  </si>
  <si>
    <t>D00927</t>
  </si>
  <si>
    <t>Public Rights of Way Improvements</t>
  </si>
  <si>
    <t>D00928</t>
  </si>
  <si>
    <t>Barton Rd/Barton Ln J'n Improvement</t>
  </si>
  <si>
    <t>D00929</t>
  </si>
  <si>
    <t>Liverpool Rd, Cadishead, Town Centre</t>
  </si>
  <si>
    <t>D00930</t>
  </si>
  <si>
    <t>Oaklands Road</t>
  </si>
  <si>
    <t>D00931</t>
  </si>
  <si>
    <t>Chapel St/New Bailey St Ped Facilities</t>
  </si>
  <si>
    <t>D00932</t>
  </si>
  <si>
    <t>Station Road Puffin Crossing</t>
  </si>
  <si>
    <t>D00933</t>
  </si>
  <si>
    <t>Langworthy Road Parking Layby</t>
  </si>
  <si>
    <t>D00934</t>
  </si>
  <si>
    <t>Dropped Kerbs &amp; Tactile Paving Programme</t>
  </si>
  <si>
    <t>D00935</t>
  </si>
  <si>
    <t>A6 Chorley Rd / Moorside Rd Ped' Facilities</t>
  </si>
  <si>
    <t>D00936</t>
  </si>
  <si>
    <t>Chapel Street Traffic Management</t>
  </si>
  <si>
    <t>D00937</t>
  </si>
  <si>
    <t>Major Scheme Feasibility Studies</t>
  </si>
  <si>
    <t/>
  </si>
  <si>
    <t>A57 Liverpool Road, Cadishead (New Moss Road - Fir Street)</t>
  </si>
  <si>
    <t>A57 Liverpool Rd  (Boysnope - Barton Moss Road)</t>
  </si>
  <si>
    <t>A575 Walkden Road (Manchester Road - Park Road)</t>
  </si>
  <si>
    <t>A5066 Oldfield Road(Ordsall Lane - Regent Road)</t>
  </si>
  <si>
    <t>A5066 Oldfield Road (Regent Road - Crescent)</t>
  </si>
  <si>
    <t>A575 Cleggs Lane (A6 - Bolton Boundary)</t>
  </si>
  <si>
    <t>Langworthy Road (Liverpool Street - Eccles New Road)</t>
  </si>
  <si>
    <t>Worsley Road (East Lancs Rd - Ringlow Park Rd)</t>
  </si>
  <si>
    <t>A666 Manchester Road (Clifton House Road - Manley Avenue)</t>
  </si>
  <si>
    <t>add on 40 for sustrants cont</t>
  </si>
  <si>
    <t>Block 3 overprogramming less cfwd receipts</t>
  </si>
  <si>
    <t>Major schemes anticipated overspend</t>
  </si>
  <si>
    <t>Higher Broughton Community Hub **</t>
  </si>
  <si>
    <t>Former Police Station, Stanwell Road **</t>
  </si>
  <si>
    <t>profiled spend received</t>
  </si>
  <si>
    <t>Demolition Newcroft High School</t>
  </si>
  <si>
    <t>C00059 7015</t>
  </si>
  <si>
    <t>C00059 7027</t>
  </si>
  <si>
    <t>c00063</t>
  </si>
  <si>
    <t>C99999 7015</t>
  </si>
  <si>
    <t>C00070</t>
  </si>
  <si>
    <t>C00064</t>
  </si>
  <si>
    <t>C00067</t>
  </si>
  <si>
    <t>C99999 7027</t>
  </si>
  <si>
    <t>C99999 7017</t>
  </si>
  <si>
    <t>WATES</t>
  </si>
  <si>
    <t>SALFORD NORTH</t>
  </si>
  <si>
    <t>H50818</t>
  </si>
  <si>
    <t>ALBION STADIUM - Heating/Elec Upgrade/Kit/Bath</t>
  </si>
  <si>
    <t>H50819</t>
  </si>
  <si>
    <t>RACECOURSE - Prior to Paint</t>
  </si>
  <si>
    <t>ECCLES</t>
  </si>
  <si>
    <t>H50969</t>
  </si>
  <si>
    <t>FAIRHILLS ROAD - Heating &amp; Rewire</t>
  </si>
  <si>
    <t>H50970</t>
  </si>
  <si>
    <t>FALMOUTH ROAD - Heating &amp; Rewire</t>
  </si>
  <si>
    <t>H50971</t>
  </si>
  <si>
    <t>SANDIWAY - Heating</t>
  </si>
  <si>
    <t>H50972</t>
  </si>
  <si>
    <t>DE TRAFFORDS/MOORFIELD - Heating &amp; Rewire</t>
  </si>
  <si>
    <t>H50973</t>
  </si>
  <si>
    <t>THE DE TRAFFORDS - Heating &amp; Rewire</t>
  </si>
  <si>
    <t>H50974</t>
  </si>
  <si>
    <t>1-12 St GEORGES COURT - Re-roof &amp; Walkway</t>
  </si>
  <si>
    <t>SWINTON</t>
  </si>
  <si>
    <t>H50881</t>
  </si>
  <si>
    <t>MANCHESTER ROAD SOUTH - Re-roof &amp; Balcony Resurface</t>
  </si>
  <si>
    <t>H50882</t>
  </si>
  <si>
    <t>WATSON STREET - Elec Upgrade</t>
  </si>
  <si>
    <t>WHITES</t>
  </si>
  <si>
    <t>H50883</t>
  </si>
  <si>
    <t>THE VALLEY - Kitchen &amp; Elec Upgrade</t>
  </si>
  <si>
    <t>SALFORD SOUTH</t>
  </si>
  <si>
    <t>H50721</t>
  </si>
  <si>
    <t>SOUTH ORDSALL - Heating/Elec Upgrade/Kit/Bath</t>
  </si>
  <si>
    <t>BRAMALL</t>
  </si>
  <si>
    <t>H50884</t>
  </si>
  <si>
    <t>CORONATION STREET - Elec Upgrade/Kit/Bath/Heating</t>
  </si>
  <si>
    <t>H50885</t>
  </si>
  <si>
    <t>NEWTOWN - Heating/Elec Upgrade</t>
  </si>
  <si>
    <t>H50886</t>
  </si>
  <si>
    <t>HAMILTON STREET - Elec Upgrade/Heating/Bath/Kit</t>
  </si>
  <si>
    <t>H50722</t>
  </si>
  <si>
    <t>PARK ROAD - Heating &amp; Elec Upgrade</t>
  </si>
  <si>
    <t>H50723</t>
  </si>
  <si>
    <t>St. GEORGES CRESCENT - Heating &amp; Elec Upgrade</t>
  </si>
  <si>
    <t>NEW PROSPECT</t>
  </si>
  <si>
    <t>H50975</t>
  </si>
  <si>
    <t>CANTERBURY GARDENS - Stairwell Refurb.</t>
  </si>
  <si>
    <t>WORSLEY</t>
  </si>
  <si>
    <t>H50922</t>
  </si>
  <si>
    <t>HILLTOP/NINIAN GDNS - Prior to Paint</t>
  </si>
  <si>
    <t>H50923</t>
  </si>
  <si>
    <t>GROSVENOR ROAD - Heating &amp; Elec Upgrade</t>
  </si>
  <si>
    <t>H50924</t>
  </si>
  <si>
    <t>WHARTON - Prior to Paint</t>
  </si>
  <si>
    <t>H50887</t>
  </si>
  <si>
    <t>SWINTON HALL ROAD - Heating/Elec Upgrade/Bath</t>
  </si>
  <si>
    <t>H50724</t>
  </si>
  <si>
    <t>MEADOWGATE - Heating/Elec Upgrade/Re-roof</t>
  </si>
  <si>
    <t>THORN COURT - Soil Stack Replacement</t>
  </si>
  <si>
    <t>H50667</t>
  </si>
  <si>
    <t>ENERGY EFFICIENCY SURVEYS</t>
  </si>
  <si>
    <t>H50968</t>
  </si>
  <si>
    <t>INSULATION - Eccles</t>
  </si>
  <si>
    <t>H51206</t>
  </si>
  <si>
    <t>INSULATION - Salford Nth</t>
  </si>
  <si>
    <t>H50574</t>
  </si>
  <si>
    <t>INSULATION - Salford Sth</t>
  </si>
  <si>
    <t>H50880</t>
  </si>
  <si>
    <t>INSULATION - Swinton</t>
  </si>
  <si>
    <t>Chesnut Ave Depot</t>
  </si>
  <si>
    <t>F00021</t>
  </si>
  <si>
    <t>f00034</t>
  </si>
  <si>
    <t>Hancocks Tip Site Investigation</t>
  </si>
  <si>
    <t>e02027</t>
  </si>
  <si>
    <t>e02004</t>
  </si>
  <si>
    <t>e01008</t>
  </si>
  <si>
    <t>e00510</t>
  </si>
  <si>
    <t>e04851</t>
  </si>
  <si>
    <t>D00635</t>
  </si>
  <si>
    <t>Street Lighting in support of HI  prog</t>
  </si>
  <si>
    <t>D01958</t>
  </si>
  <si>
    <t>D03600</t>
  </si>
  <si>
    <t>D06071</t>
  </si>
  <si>
    <t>D06117</t>
  </si>
  <si>
    <t xml:space="preserve">Salford Shopping City </t>
  </si>
  <si>
    <t>D06121</t>
  </si>
  <si>
    <t>Land at Sovereign Street</t>
  </si>
  <si>
    <t>D08006</t>
  </si>
  <si>
    <t>D08018 D08053</t>
  </si>
  <si>
    <t>H50921</t>
  </si>
  <si>
    <t>INSULATION - Worsley/LittleHulton</t>
  </si>
  <si>
    <t>HIGHRISE STRUCTURAL REPAIRS AND SURVEYS</t>
  </si>
  <si>
    <t>AD HOC WORKS FROM SMALL SCALE STOCK OPTIONS</t>
  </si>
  <si>
    <t>HIGHRISE/ADHOC MAINTENANCE</t>
  </si>
  <si>
    <t>BARONFOLD/THORNFIELD GROVE</t>
  </si>
  <si>
    <t>POLLUTION/DRAINAGE CITYWIDE</t>
  </si>
  <si>
    <t>H50707</t>
  </si>
  <si>
    <t>STRUCTURAL-SPRUCE</t>
  </si>
  <si>
    <t>H50805</t>
  </si>
  <si>
    <t>LIFTS-NEWBANK / RIVERBANK</t>
  </si>
  <si>
    <t>H50665</t>
  </si>
  <si>
    <t>SHELTERED HOMES -EXTRA CARE WORK (Funded)</t>
  </si>
  <si>
    <t>SHELTERED HOMES -EXTRA CARE WORK (Additional Works)</t>
  </si>
  <si>
    <t>H50664</t>
  </si>
  <si>
    <t>AREA OFFICE DISABLED ADAPTATIONS</t>
  </si>
  <si>
    <t>H50816</t>
  </si>
  <si>
    <t>MULTI STOREY SATELLITE TV</t>
  </si>
  <si>
    <t>H50720</t>
  </si>
  <si>
    <t>COMMUNAL TV AERIALS - PRECINCT</t>
  </si>
  <si>
    <t>H50967</t>
  </si>
  <si>
    <t>COMMUNAL TV AERIALS - ECCLES</t>
  </si>
  <si>
    <t>H50662</t>
  </si>
  <si>
    <t>REFURB  OF ACQUIREDS</t>
  </si>
  <si>
    <t>H50663</t>
  </si>
  <si>
    <t>STRUCTURAL REPAIRS-AD HOC</t>
  </si>
  <si>
    <t>SECURITY</t>
  </si>
  <si>
    <t>H50660</t>
  </si>
  <si>
    <t>TURNPIKE OFFICE ALTERATIONS</t>
  </si>
  <si>
    <t>h50870</t>
  </si>
  <si>
    <t>RIGHT TO BUY REAQUISITION</t>
  </si>
  <si>
    <t>H50661</t>
  </si>
  <si>
    <t>CITYWIDE SURVEYS</t>
  </si>
  <si>
    <t xml:space="preserve">SOLAR ELECTRICITY PLAN </t>
  </si>
  <si>
    <t>PRE PARTNERING</t>
  </si>
  <si>
    <t>WARDLEY PARTIAL REWIRE</t>
  </si>
  <si>
    <t>H50871</t>
  </si>
  <si>
    <t>TEMPLE DRIVE ELECTRICAL UPGRADE</t>
  </si>
  <si>
    <t>H51111</t>
  </si>
  <si>
    <t>DUDLEY RD HEATING</t>
  </si>
  <si>
    <t>H51110</t>
  </si>
  <si>
    <t>MEADOWS HEATING</t>
  </si>
  <si>
    <t>H51109</t>
  </si>
  <si>
    <t>BAINES AVE ROOFING</t>
  </si>
  <si>
    <t>CROSSFIELDS ROOFING</t>
  </si>
  <si>
    <t>WARREN ST ROOFING</t>
  </si>
  <si>
    <t>MITCHELL ST REWIRE/KITCHENS</t>
  </si>
  <si>
    <t>PEEL GREEN RD REWIRE,KITCHEN/BATH</t>
  </si>
  <si>
    <t>PARTNERING</t>
  </si>
  <si>
    <t>H50912</t>
  </si>
  <si>
    <t>WORSLEY PACKAGE 1</t>
  </si>
  <si>
    <t>H50959</t>
  </si>
  <si>
    <t>ECCLES PACKAGE 1</t>
  </si>
  <si>
    <t>H50960</t>
  </si>
  <si>
    <t>ECCLES PACKAGE 2</t>
  </si>
  <si>
    <t>H50961</t>
  </si>
  <si>
    <t>ECCLES PACKAGE 3</t>
  </si>
  <si>
    <t>H50962</t>
  </si>
  <si>
    <t>ECCLES PACKAGE 4</t>
  </si>
  <si>
    <t>H50872</t>
  </si>
  <si>
    <t>SWINTON PACKAGE 1</t>
  </si>
  <si>
    <t>H50873</t>
  </si>
  <si>
    <t>SWINTON PACKAGE 2</t>
  </si>
  <si>
    <t>H50874</t>
  </si>
  <si>
    <t>SWINTON PACKAGE 3</t>
  </si>
  <si>
    <t>H50713</t>
  </si>
  <si>
    <t>SALFORD SOUTH PACKAGE 1</t>
  </si>
  <si>
    <t>H50714</t>
  </si>
  <si>
    <t>SALFORD SOUTH PACKAGE 2</t>
  </si>
  <si>
    <t>H50715</t>
  </si>
  <si>
    <t>SALFORD SOUTH PACKAGE 3</t>
  </si>
  <si>
    <t>H50817</t>
  </si>
  <si>
    <t>SALFORD NORTH PACKAGE 1</t>
  </si>
  <si>
    <t>H53223</t>
  </si>
  <si>
    <t>PPR PACKAGE 1</t>
  </si>
  <si>
    <t>ROLLING PROGRAMMES</t>
  </si>
  <si>
    <t>H50001</t>
  </si>
  <si>
    <t>2004/5 D.F.G.s</t>
  </si>
  <si>
    <t>H50001A</t>
  </si>
  <si>
    <t>D.F.G.s in future years</t>
  </si>
  <si>
    <t>H50643A</t>
  </si>
  <si>
    <t>CAPITALISED SALARIES (DPU/CT)</t>
  </si>
  <si>
    <t>H50643</t>
  </si>
  <si>
    <t>ADVANCE FEES</t>
  </si>
  <si>
    <t>H54001</t>
  </si>
  <si>
    <t>2004/5 BURGLARY REDUCTION INITIATIVE</t>
  </si>
  <si>
    <t>2005/6 NEW STARTS (DSD SCHEMES)</t>
  </si>
  <si>
    <t>H50253</t>
  </si>
  <si>
    <t>PEEL PH 5 ENVIRONMENT</t>
  </si>
  <si>
    <t>2002/3 NEW STARTS (DSD SCHEMES)</t>
  </si>
  <si>
    <t>H50250</t>
  </si>
  <si>
    <t>PEEL PH 4 ENVIRONMENT</t>
  </si>
  <si>
    <t>H50270</t>
  </si>
  <si>
    <t>ARMITAGE PH 3 ENVIRONMENT</t>
  </si>
  <si>
    <t>H50249</t>
  </si>
  <si>
    <t>MOUNT SKIP PH 2 ENVIRONMENT</t>
  </si>
  <si>
    <t>H51202</t>
  </si>
  <si>
    <t>ROCKLEY GARDENS</t>
  </si>
  <si>
    <t>2001/2 NEW STARTS (DSD SCHEMES)</t>
  </si>
  <si>
    <t>H50485</t>
  </si>
  <si>
    <t>FLORAL COURT CAR PARK</t>
  </si>
  <si>
    <t>H50625</t>
  </si>
  <si>
    <t>BIRCH RD / OLD CLOUGH ENV'T</t>
  </si>
  <si>
    <t>H50610</t>
  </si>
  <si>
    <t>ADMIRALTY ENVIRONMENT</t>
  </si>
  <si>
    <t>H50519</t>
  </si>
  <si>
    <t>PHILIP ST PHASE 2 SECURITY</t>
  </si>
  <si>
    <t>H50486</t>
  </si>
  <si>
    <t>GREENGATE CAR PARKING</t>
  </si>
  <si>
    <t>H50297</t>
  </si>
  <si>
    <t>JENNINGS / TAMWORTH / WESLEY</t>
  </si>
  <si>
    <t>H50565</t>
  </si>
  <si>
    <t>TOOTAL DRIVE PH 3 ENVIRONMENT</t>
  </si>
  <si>
    <t>H50593</t>
  </si>
  <si>
    <t>CASTLEWAY PH 1 ENVIRONMENT</t>
  </si>
  <si>
    <t>H50595</t>
  </si>
  <si>
    <t>VALLEY  PH 2 ENVIRONMENT</t>
  </si>
  <si>
    <t>H50269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</si>
</sst>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  <numFmt numFmtId="194" formatCode="0.0000000"/>
    <numFmt numFmtId="195" formatCode="0.000000"/>
    <numFmt numFmtId="196" formatCode="_-&quot;£&quot;* #,##0.0_-;\-&quot;£&quot;* #,##0.0_-;_-&quot;£&quot;* &quot;-&quot;??_-;_-@_-"/>
    <numFmt numFmtId="197" formatCode="#,##0.000\ ;[Red]\(#,##0.0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2" borderId="15" xfId="0" applyNumberFormat="1" applyFont="1" applyFill="1" applyBorder="1" applyAlignment="1">
      <alignment/>
    </xf>
    <xf numFmtId="165" fontId="0" fillId="2" borderId="16" xfId="0" applyNumberFormat="1" applyFont="1" applyFill="1" applyBorder="1" applyAlignment="1">
      <alignment/>
    </xf>
    <xf numFmtId="165" fontId="1" fillId="2" borderId="16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1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19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1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165" fontId="7" fillId="2" borderId="16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1" fillId="2" borderId="17" xfId="0" applyNumberFormat="1" applyFont="1" applyFill="1" applyBorder="1" applyAlignment="1">
      <alignment/>
    </xf>
    <xf numFmtId="165" fontId="7" fillId="2" borderId="17" xfId="0" applyNumberFormat="1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17" fontId="0" fillId="0" borderId="25" xfId="0" applyNumberFormat="1" applyFont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6" xfId="0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3" xfId="0" applyNumberFormat="1" applyFont="1" applyFill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0" fillId="2" borderId="30" xfId="0" applyNumberFormat="1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" fillId="2" borderId="34" xfId="0" applyNumberFormat="1" applyFont="1" applyFill="1" applyBorder="1" applyAlignment="1">
      <alignment/>
    </xf>
    <xf numFmtId="165" fontId="1" fillId="2" borderId="30" xfId="0" applyNumberFormat="1" applyFont="1" applyFill="1" applyBorder="1" applyAlignment="1">
      <alignment/>
    </xf>
    <xf numFmtId="0" fontId="0" fillId="0" borderId="16" xfId="0" applyBorder="1" applyAlignment="1">
      <alignment/>
    </xf>
    <xf numFmtId="17" fontId="1" fillId="2" borderId="23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165" fontId="0" fillId="0" borderId="30" xfId="0" applyNumberFormat="1" applyFont="1" applyBorder="1" applyAlignment="1">
      <alignment/>
    </xf>
    <xf numFmtId="0" fontId="2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167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191" fontId="0" fillId="0" borderId="12" xfId="15" applyNumberFormat="1" applyFont="1" applyBorder="1" applyAlignment="1">
      <alignment/>
    </xf>
    <xf numFmtId="0" fontId="0" fillId="0" borderId="29" xfId="0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1" fillId="2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165" fontId="1" fillId="2" borderId="16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5" fontId="1" fillId="2" borderId="21" xfId="0" applyNumberFormat="1" applyFont="1" applyFill="1" applyBorder="1" applyAlignment="1">
      <alignment horizontal="right"/>
    </xf>
    <xf numFmtId="165" fontId="12" fillId="2" borderId="5" xfId="0" applyNumberFormat="1" applyFont="1" applyFill="1" applyBorder="1" applyAlignment="1">
      <alignment/>
    </xf>
    <xf numFmtId="165" fontId="12" fillId="2" borderId="16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0" fontId="0" fillId="0" borderId="5" xfId="0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16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 horizontal="center"/>
    </xf>
    <xf numFmtId="165" fontId="0" fillId="2" borderId="26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2" borderId="37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 quotePrefix="1">
      <alignment/>
    </xf>
    <xf numFmtId="165" fontId="0" fillId="0" borderId="3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7" xfId="0" applyNumberFormat="1" applyFont="1" applyBorder="1" applyAlignment="1">
      <alignment/>
    </xf>
    <xf numFmtId="165" fontId="7" fillId="0" borderId="16" xfId="0" applyNumberFormat="1" applyFont="1" applyFill="1" applyBorder="1" applyAlignment="1">
      <alignment/>
    </xf>
    <xf numFmtId="167" fontId="0" fillId="0" borderId="38" xfId="0" applyNumberFormat="1" applyBorder="1" applyAlignment="1">
      <alignment horizontal="center"/>
    </xf>
    <xf numFmtId="49" fontId="0" fillId="3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" fontId="0" fillId="3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1" fillId="2" borderId="27" xfId="0" applyNumberFormat="1" applyFont="1" applyFill="1" applyBorder="1" applyAlignment="1">
      <alignment/>
    </xf>
    <xf numFmtId="165" fontId="1" fillId="2" borderId="31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5" fontId="1" fillId="0" borderId="7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2" fillId="0" borderId="3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4" xfId="0" applyFont="1" applyBorder="1" applyAlignment="1">
      <alignment/>
    </xf>
    <xf numFmtId="177" fontId="15" fillId="4" borderId="26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177" fontId="15" fillId="4" borderId="18" xfId="0" applyNumberFormat="1" applyFont="1" applyFill="1" applyBorder="1" applyAlignment="1">
      <alignment/>
    </xf>
    <xf numFmtId="0" fontId="15" fillId="4" borderId="26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43" fontId="15" fillId="4" borderId="26" xfId="15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25" xfId="0" applyFont="1" applyBorder="1" applyAlignment="1">
      <alignment/>
    </xf>
    <xf numFmtId="165" fontId="0" fillId="2" borderId="23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177" fontId="15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16" fontId="15" fillId="0" borderId="0" xfId="0" applyNumberFormat="1" applyFont="1" applyBorder="1" applyAlignment="1" quotePrefix="1">
      <alignment/>
    </xf>
    <xf numFmtId="0" fontId="14" fillId="0" borderId="16" xfId="0" applyFont="1" applyBorder="1" applyAlignment="1">
      <alignment/>
    </xf>
    <xf numFmtId="43" fontId="15" fillId="0" borderId="0" xfId="15" applyFont="1" applyBorder="1" applyAlignment="1">
      <alignment/>
    </xf>
    <xf numFmtId="0" fontId="14" fillId="0" borderId="0" xfId="0" applyFont="1" applyBorder="1" applyAlignment="1">
      <alignment/>
    </xf>
    <xf numFmtId="165" fontId="0" fillId="2" borderId="29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3" borderId="0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1" fillId="2" borderId="6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65" fontId="16" fillId="0" borderId="3" xfId="0" applyNumberFormat="1" applyFont="1" applyBorder="1" applyAlignment="1">
      <alignment/>
    </xf>
    <xf numFmtId="165" fontId="16" fillId="0" borderId="3" xfId="0" applyNumberFormat="1" applyFont="1" applyBorder="1" applyAlignment="1">
      <alignment/>
    </xf>
    <xf numFmtId="165" fontId="1" fillId="2" borderId="0" xfId="17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3" xfId="0" applyFont="1" applyFill="1" applyBorder="1" applyAlignment="1" quotePrefix="1">
      <alignment horizontal="left"/>
    </xf>
    <xf numFmtId="0" fontId="17" fillId="5" borderId="3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49" fontId="0" fillId="3" borderId="0" xfId="0" applyNumberFormat="1" applyFill="1" applyBorder="1" applyAlignment="1">
      <alignment/>
    </xf>
    <xf numFmtId="17" fontId="0" fillId="0" borderId="6" xfId="0" applyNumberFormat="1" applyFont="1" applyBorder="1" applyAlignment="1">
      <alignment horizontal="center"/>
    </xf>
    <xf numFmtId="17" fontId="1" fillId="2" borderId="29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17" fontId="0" fillId="2" borderId="22" xfId="0" applyNumberFormat="1" applyFont="1" applyFill="1" applyBorder="1" applyAlignment="1">
      <alignment horizontal="center"/>
    </xf>
    <xf numFmtId="17" fontId="0" fillId="2" borderId="14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2" borderId="16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17" fontId="16" fillId="0" borderId="0" xfId="0" applyNumberFormat="1" applyFont="1" applyBorder="1" applyAlignment="1">
      <alignment/>
    </xf>
    <xf numFmtId="17" fontId="16" fillId="0" borderId="0" xfId="0" applyNumberFormat="1" applyFont="1" applyBorder="1" applyAlignment="1">
      <alignment/>
    </xf>
    <xf numFmtId="17" fontId="16" fillId="0" borderId="0" xfId="0" applyNumberFormat="1" applyFont="1" applyAlignment="1">
      <alignment/>
    </xf>
    <xf numFmtId="17" fontId="1" fillId="2" borderId="22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7" fontId="1" fillId="2" borderId="15" xfId="0" applyNumberFormat="1" applyFont="1" applyFill="1" applyBorder="1" applyAlignment="1">
      <alignment horizontal="center"/>
    </xf>
    <xf numFmtId="17" fontId="7" fillId="2" borderId="16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17" fontId="0" fillId="0" borderId="23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29" xfId="0" applyNumberFormat="1" applyFont="1" applyBorder="1" applyAlignment="1">
      <alignment horizontal="center"/>
    </xf>
    <xf numFmtId="17" fontId="0" fillId="0" borderId="2" xfId="0" applyNumberFormat="1" applyFont="1" applyBorder="1" applyAlignment="1">
      <alignment horizontal="center"/>
    </xf>
    <xf numFmtId="17" fontId="0" fillId="2" borderId="6" xfId="0" applyNumberFormat="1" applyFont="1" applyFill="1" applyBorder="1" applyAlignment="1">
      <alignment horizontal="center"/>
    </xf>
    <xf numFmtId="17" fontId="15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/>
    </xf>
    <xf numFmtId="17" fontId="0" fillId="2" borderId="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7" fillId="0" borderId="29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43" xfId="0" applyNumberFormat="1" applyFont="1" applyFill="1" applyBorder="1" applyAlignment="1">
      <alignment/>
    </xf>
    <xf numFmtId="192" fontId="0" fillId="0" borderId="33" xfId="0" applyNumberForma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97" fontId="0" fillId="0" borderId="3" xfId="0" applyNumberFormat="1" applyFont="1" applyFill="1" applyBorder="1" applyAlignment="1">
      <alignment horizontal="right"/>
    </xf>
    <xf numFmtId="165" fontId="0" fillId="0" borderId="12" xfId="0" applyNumberFormat="1" applyFont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67" fontId="0" fillId="0" borderId="14" xfId="0" applyNumberFormat="1" applyFont="1" applyBorder="1" applyAlignment="1">
      <alignment horizontal="right"/>
    </xf>
    <xf numFmtId="0" fontId="0" fillId="0" borderId="16" xfId="0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6" xfId="0" applyNumberFormat="1" applyFont="1" applyFill="1" applyBorder="1" applyAlignment="1">
      <alignment/>
    </xf>
    <xf numFmtId="0" fontId="0" fillId="6" borderId="0" xfId="0" applyFont="1" applyFill="1" applyAlignment="1">
      <alignment horizontal="left"/>
    </xf>
    <xf numFmtId="17" fontId="0" fillId="0" borderId="0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 horizontal="right"/>
    </xf>
    <xf numFmtId="165" fontId="0" fillId="2" borderId="3" xfId="0" applyNumberFormat="1" applyFill="1" applyBorder="1" applyAlignment="1">
      <alignment/>
    </xf>
    <xf numFmtId="165" fontId="16" fillId="2" borderId="3" xfId="0" applyNumberFormat="1" applyFont="1" applyFill="1" applyBorder="1" applyAlignment="1">
      <alignment/>
    </xf>
    <xf numFmtId="165" fontId="16" fillId="2" borderId="3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165" fontId="12" fillId="2" borderId="3" xfId="0" applyNumberFormat="1" applyFont="1" applyFill="1" applyBorder="1" applyAlignment="1">
      <alignment/>
    </xf>
    <xf numFmtId="165" fontId="0" fillId="2" borderId="14" xfId="0" applyNumberFormat="1" applyFill="1" applyBorder="1" applyAlignment="1">
      <alignment horizontal="center"/>
    </xf>
    <xf numFmtId="165" fontId="15" fillId="2" borderId="0" xfId="0" applyNumberFormat="1" applyFont="1" applyFill="1" applyBorder="1" applyAlignment="1">
      <alignment/>
    </xf>
    <xf numFmtId="165" fontId="14" fillId="2" borderId="0" xfId="0" applyNumberFormat="1" applyFont="1" applyFill="1" applyBorder="1" applyAlignment="1">
      <alignment/>
    </xf>
    <xf numFmtId="17" fontId="1" fillId="2" borderId="23" xfId="0" applyNumberFormat="1" applyFont="1" applyFill="1" applyBorder="1" applyAlignment="1">
      <alignment horizontal="center"/>
    </xf>
    <xf numFmtId="17" fontId="0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W1004"/>
  <sheetViews>
    <sheetView showGridLines="0" view="pageBreakPreview" zoomScaleSheetLayoutView="100" workbookViewId="0" topLeftCell="A1">
      <pane xSplit="4" ySplit="3" topLeftCell="Z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C880" sqref="C1:AD880"/>
    </sheetView>
  </sheetViews>
  <sheetFormatPr defaultColWidth="6.7109375" defaultRowHeight="12.75"/>
  <cols>
    <col min="1" max="1" width="7.8515625" style="27" hidden="1" customWidth="1"/>
    <col min="2" max="2" width="11.57421875" style="27" hidden="1" customWidth="1"/>
    <col min="3" max="3" width="50.140625" style="6" customWidth="1"/>
    <col min="4" max="4" width="9.57421875" style="6" customWidth="1"/>
    <col min="5" max="5" width="10.140625" style="140" hidden="1" customWidth="1"/>
    <col min="6" max="6" width="8.140625" style="140" hidden="1" customWidth="1"/>
    <col min="7" max="7" width="10.140625" style="6" customWidth="1"/>
    <col min="8" max="8" width="7.7109375" style="14" hidden="1" customWidth="1"/>
    <col min="9" max="17" width="7.7109375" style="6" hidden="1" customWidth="1"/>
    <col min="18" max="18" width="9.140625" style="6" hidden="1" customWidth="1"/>
    <col min="19" max="19" width="7.7109375" style="6" hidden="1" customWidth="1"/>
    <col min="20" max="21" width="9.00390625" style="6" customWidth="1"/>
    <col min="22" max="22" width="12.140625" style="240" hidden="1" customWidth="1"/>
    <col min="23" max="23" width="11.7109375" style="6" customWidth="1"/>
    <col min="24" max="24" width="10.7109375" style="6" customWidth="1"/>
    <col min="25" max="25" width="13.00390625" style="6" customWidth="1"/>
    <col min="26" max="26" width="10.7109375" style="6" customWidth="1"/>
    <col min="27" max="27" width="14.7109375" style="6" customWidth="1"/>
    <col min="28" max="28" width="10.7109375" style="6" customWidth="1"/>
    <col min="29" max="29" width="10.7109375" style="27" customWidth="1"/>
    <col min="30" max="30" width="11.7109375" style="27" customWidth="1"/>
    <col min="31" max="31" width="10.8515625" style="27" hidden="1" customWidth="1"/>
    <col min="32" max="33" width="10.7109375" style="27" hidden="1" customWidth="1"/>
    <col min="34" max="34" width="10.57421875" style="27" hidden="1" customWidth="1"/>
    <col min="35" max="46" width="10.7109375" style="27" hidden="1" customWidth="1"/>
    <col min="47" max="47" width="11.421875" style="27" hidden="1" customWidth="1"/>
    <col min="48" max="48" width="10.7109375" style="27" hidden="1" customWidth="1"/>
    <col min="49" max="49" width="26.57421875" style="27" hidden="1" customWidth="1"/>
    <col min="50" max="54" width="10.7109375" style="27" hidden="1" customWidth="1"/>
    <col min="55" max="70" width="10.7109375" style="27" customWidth="1"/>
    <col min="71" max="16384" width="1.8515625" style="27" customWidth="1"/>
  </cols>
  <sheetData>
    <row r="1" spans="3:23" ht="13.5" customHeight="1" thickBot="1">
      <c r="C1" s="10" t="s">
        <v>205</v>
      </c>
      <c r="H1" s="6"/>
      <c r="W1" s="10" t="s">
        <v>206</v>
      </c>
    </row>
    <row r="2" spans="2:30" ht="40.5" customHeight="1">
      <c r="B2" s="27" t="s">
        <v>864</v>
      </c>
      <c r="C2" s="3"/>
      <c r="D2" s="37" t="s">
        <v>712</v>
      </c>
      <c r="E2" s="339" t="s">
        <v>804</v>
      </c>
      <c r="F2" s="340"/>
      <c r="G2" s="37" t="s">
        <v>754</v>
      </c>
      <c r="H2" s="341" t="s">
        <v>862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26" t="s">
        <v>862</v>
      </c>
      <c r="U2" s="320"/>
      <c r="V2" s="241" t="s">
        <v>1162</v>
      </c>
      <c r="W2" s="37" t="s">
        <v>761</v>
      </c>
      <c r="X2" s="37" t="s">
        <v>863</v>
      </c>
      <c r="Y2" s="98" t="s">
        <v>676</v>
      </c>
      <c r="Z2" s="13"/>
      <c r="AA2" s="37" t="s">
        <v>829</v>
      </c>
      <c r="AB2" s="13"/>
      <c r="AC2" s="38"/>
      <c r="AD2" s="38"/>
    </row>
    <row r="3" spans="2:49" ht="15" customHeight="1" thickBot="1">
      <c r="B3" s="27" t="s">
        <v>865</v>
      </c>
      <c r="C3" s="25"/>
      <c r="D3" s="39"/>
      <c r="E3" s="265" t="s">
        <v>805</v>
      </c>
      <c r="F3" s="266" t="s">
        <v>806</v>
      </c>
      <c r="G3" s="40" t="s">
        <v>898</v>
      </c>
      <c r="H3" s="4" t="s">
        <v>685</v>
      </c>
      <c r="I3" s="4" t="s">
        <v>686</v>
      </c>
      <c r="J3" s="4" t="s">
        <v>687</v>
      </c>
      <c r="K3" s="4" t="s">
        <v>688</v>
      </c>
      <c r="L3" s="4" t="s">
        <v>689</v>
      </c>
      <c r="M3" s="4" t="s">
        <v>690</v>
      </c>
      <c r="N3" s="4" t="s">
        <v>691</v>
      </c>
      <c r="O3" s="4" t="s">
        <v>692</v>
      </c>
      <c r="P3" s="4" t="s">
        <v>693</v>
      </c>
      <c r="Q3" s="4" t="s">
        <v>694</v>
      </c>
      <c r="R3" s="4" t="s">
        <v>695</v>
      </c>
      <c r="S3" s="4" t="s">
        <v>696</v>
      </c>
      <c r="T3" s="39" t="str">
        <f>G3</f>
        <v>August</v>
      </c>
      <c r="U3" s="321"/>
      <c r="V3" s="242"/>
      <c r="W3" s="39" t="s">
        <v>760</v>
      </c>
      <c r="X3" s="39" t="s">
        <v>760</v>
      </c>
      <c r="Y3" s="40"/>
      <c r="Z3" s="39" t="s">
        <v>828</v>
      </c>
      <c r="AA3" s="40"/>
      <c r="AB3" s="39" t="s">
        <v>830</v>
      </c>
      <c r="AC3" s="41" t="s">
        <v>831</v>
      </c>
      <c r="AD3" s="41" t="s">
        <v>817</v>
      </c>
      <c r="AE3" s="36"/>
      <c r="AF3" s="35" t="s">
        <v>832</v>
      </c>
      <c r="AG3" s="35" t="s">
        <v>855</v>
      </c>
      <c r="AH3" s="35" t="s">
        <v>840</v>
      </c>
      <c r="AI3" s="35" t="s">
        <v>845</v>
      </c>
      <c r="AJ3" s="35" t="s">
        <v>843</v>
      </c>
      <c r="AK3" s="35" t="s">
        <v>841</v>
      </c>
      <c r="AL3" s="35" t="s">
        <v>842</v>
      </c>
      <c r="AM3" s="35" t="s">
        <v>833</v>
      </c>
      <c r="AN3" s="35" t="s">
        <v>834</v>
      </c>
      <c r="AO3" s="35" t="s">
        <v>793</v>
      </c>
      <c r="AP3" s="35" t="s">
        <v>835</v>
      </c>
      <c r="AQ3" s="35" t="s">
        <v>836</v>
      </c>
      <c r="AR3" s="35" t="s">
        <v>827</v>
      </c>
      <c r="AS3" s="35" t="s">
        <v>837</v>
      </c>
      <c r="AT3" s="35" t="s">
        <v>844</v>
      </c>
      <c r="AU3" s="35" t="s">
        <v>838</v>
      </c>
      <c r="AV3" s="35" t="s">
        <v>817</v>
      </c>
      <c r="AW3" s="27" t="s">
        <v>839</v>
      </c>
    </row>
    <row r="4" spans="3:48" ht="12.75">
      <c r="C4" s="3"/>
      <c r="D4" s="105" t="s">
        <v>794</v>
      </c>
      <c r="E4" s="267"/>
      <c r="F4" s="268"/>
      <c r="G4" s="327" t="s">
        <v>794</v>
      </c>
      <c r="H4" s="85" t="s">
        <v>794</v>
      </c>
      <c r="I4" s="79" t="s">
        <v>794</v>
      </c>
      <c r="J4" s="79" t="s">
        <v>794</v>
      </c>
      <c r="K4" s="79" t="s">
        <v>794</v>
      </c>
      <c r="L4" s="79" t="s">
        <v>794</v>
      </c>
      <c r="M4" s="79" t="s">
        <v>794</v>
      </c>
      <c r="N4" s="79" t="s">
        <v>794</v>
      </c>
      <c r="O4" s="79" t="s">
        <v>794</v>
      </c>
      <c r="P4" s="79" t="s">
        <v>794</v>
      </c>
      <c r="Q4" s="79" t="s">
        <v>794</v>
      </c>
      <c r="R4" s="79" t="s">
        <v>794</v>
      </c>
      <c r="S4" s="84" t="s">
        <v>794</v>
      </c>
      <c r="T4" s="84" t="s">
        <v>794</v>
      </c>
      <c r="U4" s="16"/>
      <c r="V4" s="242"/>
      <c r="W4" s="163" t="s">
        <v>794</v>
      </c>
      <c r="X4" s="42" t="s">
        <v>794</v>
      </c>
      <c r="Y4" s="42"/>
      <c r="Z4" s="42" t="s">
        <v>794</v>
      </c>
      <c r="AA4" s="42" t="s">
        <v>794</v>
      </c>
      <c r="AB4" s="42" t="s">
        <v>794</v>
      </c>
      <c r="AC4" s="43" t="s">
        <v>794</v>
      </c>
      <c r="AD4" s="42" t="s">
        <v>794</v>
      </c>
      <c r="AF4" s="27" t="s">
        <v>794</v>
      </c>
      <c r="AH4" s="27" t="s">
        <v>794</v>
      </c>
      <c r="AI4" s="27" t="s">
        <v>794</v>
      </c>
      <c r="AJ4" s="27" t="s">
        <v>794</v>
      </c>
      <c r="AK4" s="27" t="s">
        <v>794</v>
      </c>
      <c r="AL4" s="27" t="s">
        <v>794</v>
      </c>
      <c r="AM4" s="27" t="s">
        <v>794</v>
      </c>
      <c r="AN4" s="27" t="s">
        <v>794</v>
      </c>
      <c r="AO4" s="27" t="s">
        <v>794</v>
      </c>
      <c r="AP4" s="27" t="s">
        <v>794</v>
      </c>
      <c r="AQ4" s="27" t="s">
        <v>794</v>
      </c>
      <c r="AR4" s="27" t="s">
        <v>794</v>
      </c>
      <c r="AS4" s="27" t="s">
        <v>794</v>
      </c>
      <c r="AT4" s="27" t="s">
        <v>794</v>
      </c>
      <c r="AU4" s="27" t="s">
        <v>794</v>
      </c>
      <c r="AV4" s="28" t="s">
        <v>794</v>
      </c>
    </row>
    <row r="5" spans="3:48" ht="12.75">
      <c r="C5" s="7"/>
      <c r="D5" s="5"/>
      <c r="E5" s="267"/>
      <c r="F5" s="269"/>
      <c r="G5" s="5"/>
      <c r="H5" s="45"/>
      <c r="S5" s="86"/>
      <c r="T5" s="86"/>
      <c r="W5" s="30"/>
      <c r="X5" s="30"/>
      <c r="Y5" s="30"/>
      <c r="Z5" s="30"/>
      <c r="AA5" s="30"/>
      <c r="AB5" s="30"/>
      <c r="AC5" s="31"/>
      <c r="AD5" s="31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1"/>
    </row>
    <row r="6" spans="3:48" ht="12.75">
      <c r="C6" s="7" t="s">
        <v>672</v>
      </c>
      <c r="D6" s="5"/>
      <c r="E6" s="267"/>
      <c r="F6" s="269"/>
      <c r="G6" s="5"/>
      <c r="H6" s="45"/>
      <c r="S6" s="86"/>
      <c r="T6" s="86"/>
      <c r="W6" s="30"/>
      <c r="X6" s="30"/>
      <c r="Y6" s="30"/>
      <c r="Z6" s="30"/>
      <c r="AA6" s="30"/>
      <c r="AB6" s="30"/>
      <c r="AC6" s="31"/>
      <c r="AD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2:48" ht="12.75">
      <c r="B7" s="263" t="s">
        <v>858</v>
      </c>
      <c r="C7" s="77" t="s">
        <v>752</v>
      </c>
      <c r="D7" s="134">
        <v>7</v>
      </c>
      <c r="E7" s="270"/>
      <c r="F7" s="270"/>
      <c r="G7" s="328">
        <v>1.394</v>
      </c>
      <c r="H7" s="45"/>
      <c r="S7" s="86"/>
      <c r="T7" s="154">
        <f>D7/12*5</f>
        <v>2.916666666666667</v>
      </c>
      <c r="U7" s="156"/>
      <c r="W7" s="30"/>
      <c r="X7" s="30"/>
      <c r="Y7" s="30"/>
      <c r="Z7" s="30"/>
      <c r="AA7" s="30"/>
      <c r="AB7" s="30"/>
      <c r="AC7" s="31"/>
      <c r="AD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2:48" ht="12.75">
      <c r="B8" s="263" t="s">
        <v>858</v>
      </c>
      <c r="C8" s="77" t="s">
        <v>665</v>
      </c>
      <c r="D8" s="134">
        <v>5.577</v>
      </c>
      <c r="E8" s="267"/>
      <c r="G8" s="329">
        <v>2.037</v>
      </c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>
        <f aca="true" t="shared" si="0" ref="T8:T15">D8/12*5</f>
        <v>2.32375</v>
      </c>
      <c r="U8" s="155"/>
      <c r="V8" s="243"/>
      <c r="W8" s="159"/>
      <c r="X8" s="159"/>
      <c r="Y8" s="159"/>
      <c r="Z8" s="159"/>
      <c r="AA8" s="159"/>
      <c r="AB8" s="30"/>
      <c r="AC8" s="159"/>
      <c r="AD8" s="159"/>
      <c r="AE8" s="156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31">
        <f aca="true" t="shared" si="1" ref="AV8:AV15">SUM(AF8:AU8)</f>
        <v>0</v>
      </c>
    </row>
    <row r="9" spans="2:48" ht="12.75">
      <c r="B9" s="263" t="s">
        <v>858</v>
      </c>
      <c r="C9" s="144" t="s">
        <v>666</v>
      </c>
      <c r="D9" s="134">
        <v>10.433</v>
      </c>
      <c r="E9" s="267"/>
      <c r="G9" s="329">
        <v>3.807</v>
      </c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4">
        <f t="shared" si="0"/>
        <v>4.347083333333333</v>
      </c>
      <c r="U9" s="155"/>
      <c r="V9" s="243"/>
      <c r="W9" s="159"/>
      <c r="X9" s="159"/>
      <c r="Y9" s="159"/>
      <c r="Z9" s="159"/>
      <c r="AA9" s="159"/>
      <c r="AB9" s="30"/>
      <c r="AC9" s="159"/>
      <c r="AD9" s="159"/>
      <c r="AE9" s="156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31">
        <f t="shared" si="1"/>
        <v>0</v>
      </c>
    </row>
    <row r="10" spans="2:48" ht="12.75">
      <c r="B10" s="263" t="s">
        <v>858</v>
      </c>
      <c r="C10" s="77" t="s">
        <v>667</v>
      </c>
      <c r="D10" s="134">
        <v>1.957</v>
      </c>
      <c r="E10" s="267"/>
      <c r="G10" s="329">
        <v>0.94</v>
      </c>
      <c r="H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4">
        <f t="shared" si="0"/>
        <v>0.8154166666666667</v>
      </c>
      <c r="U10" s="155"/>
      <c r="V10" s="243"/>
      <c r="W10" s="159"/>
      <c r="X10" s="159"/>
      <c r="Y10" s="159"/>
      <c r="Z10" s="159"/>
      <c r="AA10" s="159"/>
      <c r="AB10" s="30"/>
      <c r="AC10" s="159"/>
      <c r="AD10" s="159"/>
      <c r="AE10" s="156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31">
        <f t="shared" si="1"/>
        <v>0</v>
      </c>
    </row>
    <row r="11" spans="2:48" ht="12.75">
      <c r="B11" s="263" t="s">
        <v>858</v>
      </c>
      <c r="C11" s="77" t="s">
        <v>668</v>
      </c>
      <c r="D11" s="134">
        <v>1.248</v>
      </c>
      <c r="E11" s="267"/>
      <c r="G11" s="329">
        <v>0.116</v>
      </c>
      <c r="H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4">
        <f t="shared" si="0"/>
        <v>0.52</v>
      </c>
      <c r="U11" s="155"/>
      <c r="V11" s="243"/>
      <c r="W11" s="159"/>
      <c r="X11" s="159"/>
      <c r="Y11" s="159"/>
      <c r="Z11" s="159"/>
      <c r="AA11" s="159"/>
      <c r="AB11" s="30"/>
      <c r="AC11" s="159"/>
      <c r="AD11" s="159"/>
      <c r="AE11" s="156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31">
        <f t="shared" si="1"/>
        <v>0</v>
      </c>
    </row>
    <row r="12" spans="2:48" ht="12.75">
      <c r="B12" s="263" t="s">
        <v>858</v>
      </c>
      <c r="C12" s="144" t="s">
        <v>669</v>
      </c>
      <c r="D12" s="134">
        <v>0.64</v>
      </c>
      <c r="E12" s="267"/>
      <c r="G12" s="329">
        <v>0</v>
      </c>
      <c r="H12" s="157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4">
        <f t="shared" si="0"/>
        <v>0.26666666666666666</v>
      </c>
      <c r="U12" s="155"/>
      <c r="V12" s="243"/>
      <c r="W12" s="159"/>
      <c r="X12" s="159"/>
      <c r="Y12" s="159"/>
      <c r="Z12" s="159"/>
      <c r="AA12" s="159"/>
      <c r="AB12" s="30"/>
      <c r="AC12" s="159"/>
      <c r="AD12" s="159"/>
      <c r="AE12" s="156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31">
        <f t="shared" si="1"/>
        <v>0</v>
      </c>
    </row>
    <row r="13" spans="2:48" ht="12.75">
      <c r="B13" s="263" t="s">
        <v>858</v>
      </c>
      <c r="C13" s="144" t="s">
        <v>670</v>
      </c>
      <c r="D13" s="134">
        <v>4.798</v>
      </c>
      <c r="E13" s="267"/>
      <c r="G13" s="329">
        <v>0.603</v>
      </c>
      <c r="H13" s="157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4">
        <f t="shared" si="0"/>
        <v>1.9991666666666665</v>
      </c>
      <c r="U13" s="155"/>
      <c r="V13" s="243"/>
      <c r="W13" s="159"/>
      <c r="X13" s="159"/>
      <c r="Y13" s="159"/>
      <c r="Z13" s="159"/>
      <c r="AA13" s="159"/>
      <c r="AB13" s="30"/>
      <c r="AC13" s="159"/>
      <c r="AD13" s="159"/>
      <c r="AE13" s="156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31">
        <f t="shared" si="1"/>
        <v>0</v>
      </c>
    </row>
    <row r="14" spans="2:48" ht="12.75">
      <c r="B14" s="263" t="s">
        <v>858</v>
      </c>
      <c r="C14" s="77" t="s">
        <v>671</v>
      </c>
      <c r="D14" s="134">
        <v>4.549</v>
      </c>
      <c r="E14" s="271"/>
      <c r="G14" s="329">
        <v>0.843</v>
      </c>
      <c r="H14" s="157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4">
        <f t="shared" si="0"/>
        <v>1.895416666666667</v>
      </c>
      <c r="U14" s="155"/>
      <c r="V14" s="243"/>
      <c r="W14" s="159"/>
      <c r="X14" s="159"/>
      <c r="Y14" s="159"/>
      <c r="Z14" s="159"/>
      <c r="AA14" s="159"/>
      <c r="AB14" s="30"/>
      <c r="AC14" s="159"/>
      <c r="AD14" s="159"/>
      <c r="AE14" s="156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31">
        <f t="shared" si="1"/>
        <v>0</v>
      </c>
    </row>
    <row r="15" spans="2:49" ht="13.5" thickBot="1">
      <c r="B15" s="263" t="s">
        <v>858</v>
      </c>
      <c r="C15" s="77" t="s">
        <v>211</v>
      </c>
      <c r="D15" s="134">
        <v>-2.38</v>
      </c>
      <c r="E15" s="270"/>
      <c r="F15" s="270"/>
      <c r="G15" s="328"/>
      <c r="H15" s="45"/>
      <c r="T15" s="154">
        <f t="shared" si="0"/>
        <v>-0.9916666666666667</v>
      </c>
      <c r="U15" s="155"/>
      <c r="V15" s="243"/>
      <c r="W15" s="30">
        <v>3.481</v>
      </c>
      <c r="X15" s="30"/>
      <c r="Y15" s="30"/>
      <c r="Z15" s="30"/>
      <c r="AA15" s="30">
        <f>5.231+1.898</f>
        <v>7.129</v>
      </c>
      <c r="AB15" s="30">
        <f>AV15</f>
        <v>23.212</v>
      </c>
      <c r="AC15" s="31"/>
      <c r="AD15" s="31">
        <f>SUM(W15:AC15)</f>
        <v>33.822</v>
      </c>
      <c r="AF15" s="31"/>
      <c r="AG15" s="31">
        <f>1-0.486</f>
        <v>0.514</v>
      </c>
      <c r="AH15" s="31"/>
      <c r="AI15" s="31"/>
      <c r="AJ15" s="31"/>
      <c r="AK15" s="31"/>
      <c r="AL15" s="31"/>
      <c r="AM15" s="31">
        <f>0.73-0.054</f>
        <v>0.6759999999999999</v>
      </c>
      <c r="AN15" s="31">
        <f>1.362+0.211</f>
        <v>1.5730000000000002</v>
      </c>
      <c r="AO15" s="31">
        <v>0.679</v>
      </c>
      <c r="AP15" s="31">
        <v>1.55</v>
      </c>
      <c r="AQ15" s="31"/>
      <c r="AR15" s="31"/>
      <c r="AS15" s="31">
        <f>20.98+1.24-2.68-1.32</f>
        <v>18.22</v>
      </c>
      <c r="AT15" s="31"/>
      <c r="AU15" s="31"/>
      <c r="AV15" s="132">
        <f t="shared" si="1"/>
        <v>23.212</v>
      </c>
      <c r="AW15" s="173"/>
    </row>
    <row r="16" spans="2:48" ht="12.75">
      <c r="B16" s="27">
        <f>SUM(D8:D14)/2</f>
        <v>14.600999999999999</v>
      </c>
      <c r="C16" s="7" t="s">
        <v>673</v>
      </c>
      <c r="D16" s="13">
        <f>SUM(D7:D15)</f>
        <v>33.821999999999996</v>
      </c>
      <c r="E16" s="130"/>
      <c r="F16" s="141"/>
      <c r="G16" s="13">
        <f>SUM(G7:G15)</f>
        <v>9.739999999999998</v>
      </c>
      <c r="H16" s="116">
        <f>SUM(H7:H15)</f>
        <v>0</v>
      </c>
      <c r="I16" s="112">
        <f>SUM(I7:I15)</f>
        <v>0</v>
      </c>
      <c r="J16" s="112">
        <f aca="true" t="shared" si="2" ref="J16:S16">SUM(J7:J15)</f>
        <v>0</v>
      </c>
      <c r="K16" s="112">
        <f t="shared" si="2"/>
        <v>0</v>
      </c>
      <c r="L16" s="112">
        <f t="shared" si="2"/>
        <v>0</v>
      </c>
      <c r="M16" s="112">
        <f t="shared" si="2"/>
        <v>0</v>
      </c>
      <c r="N16" s="112">
        <f t="shared" si="2"/>
        <v>0</v>
      </c>
      <c r="O16" s="112">
        <f t="shared" si="2"/>
        <v>0</v>
      </c>
      <c r="P16" s="112">
        <f t="shared" si="2"/>
        <v>0</v>
      </c>
      <c r="Q16" s="112">
        <f t="shared" si="2"/>
        <v>0</v>
      </c>
      <c r="R16" s="112">
        <f t="shared" si="2"/>
        <v>0</v>
      </c>
      <c r="S16" s="112">
        <f t="shared" si="2"/>
        <v>0</v>
      </c>
      <c r="T16" s="195">
        <f>SUM(T7:T15)</f>
        <v>14.0925</v>
      </c>
      <c r="U16" s="155"/>
      <c r="V16" s="243"/>
      <c r="W16" s="125">
        <f>SUM(W7:W15)</f>
        <v>3.481</v>
      </c>
      <c r="X16" s="125">
        <f aca="true" t="shared" si="3" ref="X16:AD16">SUM(X7:X15)</f>
        <v>0</v>
      </c>
      <c r="Y16" s="125">
        <f t="shared" si="3"/>
        <v>0</v>
      </c>
      <c r="Z16" s="125">
        <f t="shared" si="3"/>
        <v>0</v>
      </c>
      <c r="AA16" s="125">
        <f t="shared" si="3"/>
        <v>7.129</v>
      </c>
      <c r="AB16" s="125">
        <f t="shared" si="3"/>
        <v>23.212</v>
      </c>
      <c r="AC16" s="125">
        <f t="shared" si="3"/>
        <v>0</v>
      </c>
      <c r="AD16" s="125">
        <f t="shared" si="3"/>
        <v>33.822</v>
      </c>
      <c r="AE16" s="112"/>
      <c r="AF16" s="125">
        <f>SUM(AF7:AF15)</f>
        <v>0</v>
      </c>
      <c r="AG16" s="125">
        <f>SUM(AG7:AG15)</f>
        <v>0.514</v>
      </c>
      <c r="AH16" s="125">
        <f aca="true" t="shared" si="4" ref="AH16:AV16">SUM(AH7:AH15)</f>
        <v>0</v>
      </c>
      <c r="AI16" s="125">
        <f t="shared" si="4"/>
        <v>0</v>
      </c>
      <c r="AJ16" s="125">
        <f t="shared" si="4"/>
        <v>0</v>
      </c>
      <c r="AK16" s="125">
        <f t="shared" si="4"/>
        <v>0</v>
      </c>
      <c r="AL16" s="125">
        <f t="shared" si="4"/>
        <v>0</v>
      </c>
      <c r="AM16" s="125">
        <f t="shared" si="4"/>
        <v>0.6759999999999999</v>
      </c>
      <c r="AN16" s="125">
        <f t="shared" si="4"/>
        <v>1.5730000000000002</v>
      </c>
      <c r="AO16" s="125">
        <f t="shared" si="4"/>
        <v>0.679</v>
      </c>
      <c r="AP16" s="125">
        <f t="shared" si="4"/>
        <v>1.55</v>
      </c>
      <c r="AQ16" s="125">
        <f t="shared" si="4"/>
        <v>0</v>
      </c>
      <c r="AR16" s="125">
        <f t="shared" si="4"/>
        <v>0</v>
      </c>
      <c r="AS16" s="125">
        <f t="shared" si="4"/>
        <v>18.22</v>
      </c>
      <c r="AT16" s="125">
        <f t="shared" si="4"/>
        <v>0</v>
      </c>
      <c r="AU16" s="125">
        <f t="shared" si="4"/>
        <v>0</v>
      </c>
      <c r="AV16" s="125">
        <f t="shared" si="4"/>
        <v>23.212</v>
      </c>
    </row>
    <row r="17" spans="3:48" ht="12.75">
      <c r="C17" s="5"/>
      <c r="D17" s="5"/>
      <c r="E17" s="267"/>
      <c r="G17" s="7"/>
      <c r="H17" s="45"/>
      <c r="T17" s="154"/>
      <c r="U17" s="155"/>
      <c r="V17" s="243"/>
      <c r="W17" s="30"/>
      <c r="X17" s="30"/>
      <c r="Y17" s="30"/>
      <c r="Z17" s="30"/>
      <c r="AA17" s="30"/>
      <c r="AB17" s="30"/>
      <c r="AC17" s="31"/>
      <c r="AD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3:48" ht="12.75">
      <c r="C18" s="8"/>
      <c r="D18" s="5"/>
      <c r="E18" s="267"/>
      <c r="G18" s="7"/>
      <c r="H18" s="45"/>
      <c r="T18" s="5"/>
      <c r="U18" s="45"/>
      <c r="V18" s="243"/>
      <c r="W18" s="30"/>
      <c r="X18" s="30"/>
      <c r="Y18" s="30"/>
      <c r="Z18" s="30"/>
      <c r="AA18" s="30"/>
      <c r="AB18" s="30"/>
      <c r="AC18" s="31"/>
      <c r="AD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3:48" ht="12.75">
      <c r="C19" s="7" t="s">
        <v>674</v>
      </c>
      <c r="D19" s="5"/>
      <c r="E19" s="267"/>
      <c r="G19" s="7"/>
      <c r="H19" s="45"/>
      <c r="T19" s="5"/>
      <c r="U19" s="45"/>
      <c r="V19" s="243"/>
      <c r="W19" s="30"/>
      <c r="X19" s="30"/>
      <c r="Y19" s="30"/>
      <c r="Z19" s="30"/>
      <c r="AA19" s="30"/>
      <c r="AB19" s="30"/>
      <c r="AC19" s="31"/>
      <c r="AD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ht="12" customHeight="1">
      <c r="A20" s="27" t="s">
        <v>768</v>
      </c>
      <c r="B20" s="181" t="s">
        <v>858</v>
      </c>
      <c r="C20" s="147" t="s">
        <v>477</v>
      </c>
      <c r="D20" s="20">
        <f>SUM(D21:D62)</f>
        <v>11.109</v>
      </c>
      <c r="E20" s="270"/>
      <c r="F20" s="270"/>
      <c r="G20" s="5">
        <f>SUM(G21:G62)</f>
        <v>3.827</v>
      </c>
      <c r="H20" s="109">
        <f aca="true" t="shared" si="5" ref="H20:S20">SUM(H21:H62)</f>
        <v>0</v>
      </c>
      <c r="I20" s="109">
        <f t="shared" si="5"/>
        <v>0</v>
      </c>
      <c r="J20" s="109">
        <f t="shared" si="5"/>
        <v>1.011</v>
      </c>
      <c r="K20" s="109">
        <f t="shared" si="5"/>
        <v>1.9159999999999997</v>
      </c>
      <c r="L20" s="109">
        <f t="shared" si="5"/>
        <v>1.5459999999999998</v>
      </c>
      <c r="M20" s="109">
        <f t="shared" si="5"/>
        <v>1.695</v>
      </c>
      <c r="N20" s="109">
        <f t="shared" si="5"/>
        <v>1.029</v>
      </c>
      <c r="O20" s="109">
        <f t="shared" si="5"/>
        <v>0.852</v>
      </c>
      <c r="P20" s="109">
        <f t="shared" si="5"/>
        <v>0.6750000000000002</v>
      </c>
      <c r="Q20" s="109">
        <f t="shared" si="5"/>
        <v>0.649</v>
      </c>
      <c r="R20" s="109">
        <f t="shared" si="5"/>
        <v>0.517</v>
      </c>
      <c r="S20" s="109">
        <f t="shared" si="5"/>
        <v>1.5679999999999998</v>
      </c>
      <c r="T20" s="20">
        <f>SUM(T21:T62)</f>
        <v>4.473000000000001</v>
      </c>
      <c r="U20" s="82"/>
      <c r="V20" s="243"/>
      <c r="W20" s="136"/>
      <c r="X20" s="136"/>
      <c r="Y20" s="136"/>
      <c r="Z20" s="136"/>
      <c r="AA20" s="136"/>
      <c r="AB20" s="136"/>
      <c r="AC20" s="136"/>
      <c r="AD20" s="136"/>
      <c r="AF20" s="136">
        <f>SUM(AF21:AF57)</f>
        <v>0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</row>
    <row r="21" spans="1:48" ht="12.75" customHeight="1" hidden="1">
      <c r="A21" s="182"/>
      <c r="C21" s="145" t="s">
        <v>1173</v>
      </c>
      <c r="D21" s="20">
        <v>0</v>
      </c>
      <c r="E21" s="270"/>
      <c r="F21" s="270"/>
      <c r="G21" s="5">
        <v>0</v>
      </c>
      <c r="H21" s="8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>
        <f aca="true" t="shared" si="6" ref="T21:T62">SUM(H21:L21)</f>
        <v>0</v>
      </c>
      <c r="U21" s="155"/>
      <c r="V21" s="243"/>
      <c r="W21" s="30"/>
      <c r="X21" s="30"/>
      <c r="Y21" s="30"/>
      <c r="Z21" s="30"/>
      <c r="AA21" s="30"/>
      <c r="AB21" s="30"/>
      <c r="AC21" s="31"/>
      <c r="AD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ht="12.75" customHeight="1" hidden="1">
      <c r="A22" s="182"/>
      <c r="C22" s="145" t="s">
        <v>1174</v>
      </c>
      <c r="D22" s="20">
        <v>0</v>
      </c>
      <c r="E22" s="270"/>
      <c r="F22" s="270"/>
      <c r="G22" s="5">
        <v>0</v>
      </c>
      <c r="H22" s="8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54">
        <f t="shared" si="6"/>
        <v>0</v>
      </c>
      <c r="U22" s="155"/>
      <c r="V22" s="243"/>
      <c r="W22" s="30"/>
      <c r="X22" s="30"/>
      <c r="Y22" s="30"/>
      <c r="Z22" s="30"/>
      <c r="AA22" s="30"/>
      <c r="AB22" s="30"/>
      <c r="AC22" s="31"/>
      <c r="AD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ht="12.75" customHeight="1" hidden="1">
      <c r="A23" s="182"/>
      <c r="B23" s="27" t="s">
        <v>1175</v>
      </c>
      <c r="C23" s="145" t="s">
        <v>1176</v>
      </c>
      <c r="D23" s="20">
        <v>1.108</v>
      </c>
      <c r="E23" s="270"/>
      <c r="F23" s="270"/>
      <c r="G23" s="5">
        <v>0.714</v>
      </c>
      <c r="H23" s="83"/>
      <c r="I23" s="12"/>
      <c r="J23" s="12">
        <v>0.21</v>
      </c>
      <c r="K23" s="12">
        <v>0.207</v>
      </c>
      <c r="L23" s="12">
        <v>0.224</v>
      </c>
      <c r="M23" s="12">
        <v>0.266</v>
      </c>
      <c r="N23" s="12">
        <v>0.083</v>
      </c>
      <c r="O23" s="12">
        <v>0.027</v>
      </c>
      <c r="P23" s="12">
        <v>0</v>
      </c>
      <c r="Q23" s="12">
        <v>0</v>
      </c>
      <c r="R23" s="12">
        <v>0</v>
      </c>
      <c r="S23" s="12">
        <v>0.102</v>
      </c>
      <c r="T23" s="154">
        <f t="shared" si="6"/>
        <v>0.641</v>
      </c>
      <c r="U23" s="155"/>
      <c r="V23" s="243"/>
      <c r="W23" s="30"/>
      <c r="X23" s="30"/>
      <c r="Y23" s="30"/>
      <c r="Z23" s="30"/>
      <c r="AA23" s="30"/>
      <c r="AB23" s="30"/>
      <c r="AC23" s="31"/>
      <c r="AD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ht="12.75" customHeight="1" hidden="1">
      <c r="A24" s="182"/>
      <c r="B24" s="27" t="s">
        <v>1177</v>
      </c>
      <c r="C24" s="145" t="s">
        <v>1178</v>
      </c>
      <c r="D24" s="20">
        <v>0.011</v>
      </c>
      <c r="E24" s="270"/>
      <c r="F24" s="270"/>
      <c r="G24" s="5">
        <v>0</v>
      </c>
      <c r="H24" s="83"/>
      <c r="I24" s="12"/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0.033</v>
      </c>
      <c r="P24" s="12">
        <v>0.066</v>
      </c>
      <c r="Q24" s="12">
        <v>0</v>
      </c>
      <c r="R24" s="12">
        <v>0</v>
      </c>
      <c r="S24" s="12">
        <v>0.01</v>
      </c>
      <c r="T24" s="154">
        <f t="shared" si="6"/>
        <v>0</v>
      </c>
      <c r="U24" s="155"/>
      <c r="V24" s="243"/>
      <c r="W24" s="30"/>
      <c r="X24" s="30"/>
      <c r="Y24" s="30"/>
      <c r="Z24" s="30"/>
      <c r="AA24" s="30"/>
      <c r="AB24" s="30"/>
      <c r="AC24" s="31"/>
      <c r="AD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ht="12.75" customHeight="1" hidden="1">
      <c r="A25" s="182"/>
      <c r="C25" s="145" t="s">
        <v>1179</v>
      </c>
      <c r="D25" s="20">
        <v>0</v>
      </c>
      <c r="E25" s="270"/>
      <c r="F25" s="270"/>
      <c r="G25" s="5">
        <v>0</v>
      </c>
      <c r="H25" s="83"/>
      <c r="I25" s="12"/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54">
        <f t="shared" si="6"/>
        <v>0</v>
      </c>
      <c r="U25" s="155"/>
      <c r="V25" s="243"/>
      <c r="W25" s="30"/>
      <c r="X25" s="30"/>
      <c r="Y25" s="30"/>
      <c r="Z25" s="30"/>
      <c r="AA25" s="30"/>
      <c r="AB25" s="30"/>
      <c r="AC25" s="31"/>
      <c r="AD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12.75" customHeight="1" hidden="1">
      <c r="A26" s="182"/>
      <c r="B26" s="27" t="s">
        <v>1180</v>
      </c>
      <c r="C26" s="145" t="s">
        <v>1181</v>
      </c>
      <c r="D26" s="20">
        <v>0.143</v>
      </c>
      <c r="E26" s="270"/>
      <c r="F26" s="270"/>
      <c r="G26" s="5">
        <v>0</v>
      </c>
      <c r="H26" s="83"/>
      <c r="I26" s="12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0.092</v>
      </c>
      <c r="Q26" s="12">
        <v>0.038</v>
      </c>
      <c r="R26" s="12">
        <v>0</v>
      </c>
      <c r="S26" s="12">
        <v>0.013</v>
      </c>
      <c r="T26" s="154">
        <f t="shared" si="6"/>
        <v>0</v>
      </c>
      <c r="U26" s="155"/>
      <c r="V26" s="243"/>
      <c r="W26" s="30"/>
      <c r="X26" s="30"/>
      <c r="Y26" s="30"/>
      <c r="Z26" s="30"/>
      <c r="AA26" s="30"/>
      <c r="AB26" s="30"/>
      <c r="AC26" s="31"/>
      <c r="AD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ht="12.75" customHeight="1" hidden="1">
      <c r="A27" s="182"/>
      <c r="B27" s="27" t="s">
        <v>1182</v>
      </c>
      <c r="C27" s="145" t="s">
        <v>1183</v>
      </c>
      <c r="D27" s="20">
        <v>0.025</v>
      </c>
      <c r="E27" s="270"/>
      <c r="F27" s="270"/>
      <c r="G27" s="5">
        <v>0</v>
      </c>
      <c r="H27" s="83"/>
      <c r="I27" s="12"/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0.023</v>
      </c>
      <c r="R27" s="12">
        <v>0</v>
      </c>
      <c r="S27" s="12">
        <v>0.002</v>
      </c>
      <c r="T27" s="154">
        <f t="shared" si="6"/>
        <v>0</v>
      </c>
      <c r="U27" s="155"/>
      <c r="V27" s="243"/>
      <c r="W27" s="30"/>
      <c r="X27" s="30"/>
      <c r="Y27" s="30"/>
      <c r="Z27" s="30"/>
      <c r="AA27" s="30"/>
      <c r="AB27" s="30"/>
      <c r="AC27" s="31"/>
      <c r="AD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ht="12.75" customHeight="1" hidden="1">
      <c r="A28" s="182"/>
      <c r="B28" s="27" t="s">
        <v>1184</v>
      </c>
      <c r="C28" s="145" t="s">
        <v>1185</v>
      </c>
      <c r="D28" s="20">
        <v>0.026</v>
      </c>
      <c r="E28" s="270"/>
      <c r="F28" s="270"/>
      <c r="G28" s="5">
        <v>0</v>
      </c>
      <c r="H28" s="83"/>
      <c r="I28" s="12"/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0.026</v>
      </c>
      <c r="T28" s="154">
        <f t="shared" si="6"/>
        <v>0</v>
      </c>
      <c r="U28" s="155"/>
      <c r="V28" s="243"/>
      <c r="W28" s="30"/>
      <c r="X28" s="30"/>
      <c r="Y28" s="30"/>
      <c r="Z28" s="30"/>
      <c r="AA28" s="30"/>
      <c r="AB28" s="30"/>
      <c r="AC28" s="31"/>
      <c r="AD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ht="12.75" customHeight="1" hidden="1">
      <c r="A29" s="182"/>
      <c r="B29" s="27" t="s">
        <v>1186</v>
      </c>
      <c r="C29" s="145" t="s">
        <v>1187</v>
      </c>
      <c r="D29" s="20">
        <v>0.532</v>
      </c>
      <c r="E29" s="270"/>
      <c r="F29" s="270"/>
      <c r="G29" s="5">
        <v>0</v>
      </c>
      <c r="H29" s="83"/>
      <c r="I29" s="12"/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0.244</v>
      </c>
      <c r="R29" s="12">
        <v>0.229</v>
      </c>
      <c r="S29" s="12">
        <v>0.098</v>
      </c>
      <c r="T29" s="154">
        <f t="shared" si="6"/>
        <v>0</v>
      </c>
      <c r="U29" s="155"/>
      <c r="V29" s="243"/>
      <c r="W29" s="30"/>
      <c r="X29" s="30"/>
      <c r="Y29" s="30"/>
      <c r="Z29" s="30"/>
      <c r="AA29" s="30"/>
      <c r="AB29" s="30"/>
      <c r="AC29" s="31"/>
      <c r="AD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ht="12.75" customHeight="1" hidden="1">
      <c r="A30" s="182"/>
      <c r="B30" s="27" t="s">
        <v>1188</v>
      </c>
      <c r="C30" s="145" t="s">
        <v>1189</v>
      </c>
      <c r="D30" s="20">
        <v>0.353</v>
      </c>
      <c r="E30" s="270"/>
      <c r="F30" s="270"/>
      <c r="G30" s="5">
        <v>0</v>
      </c>
      <c r="H30" s="83"/>
      <c r="I30" s="12"/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0.353</v>
      </c>
      <c r="T30" s="154">
        <f t="shared" si="6"/>
        <v>0</v>
      </c>
      <c r="U30" s="155"/>
      <c r="V30" s="243"/>
      <c r="W30" s="30"/>
      <c r="X30" s="30"/>
      <c r="Y30" s="30"/>
      <c r="Z30" s="30"/>
      <c r="AA30" s="30"/>
      <c r="AB30" s="30"/>
      <c r="AC30" s="31"/>
      <c r="AD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ht="12.75" customHeight="1" hidden="1">
      <c r="A31" s="182"/>
      <c r="B31" s="27" t="s">
        <v>1190</v>
      </c>
      <c r="C31" s="145" t="s">
        <v>1191</v>
      </c>
      <c r="D31" s="20">
        <v>0.051</v>
      </c>
      <c r="E31" s="270"/>
      <c r="F31" s="270"/>
      <c r="G31" s="5">
        <v>0</v>
      </c>
      <c r="H31" s="83"/>
      <c r="I31" s="12"/>
      <c r="J31" s="12">
        <v>0</v>
      </c>
      <c r="K31" s="12">
        <v>0</v>
      </c>
      <c r="L31" s="12">
        <v>0</v>
      </c>
      <c r="M31" s="12">
        <v>0.046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0.005</v>
      </c>
      <c r="T31" s="154">
        <f t="shared" si="6"/>
        <v>0</v>
      </c>
      <c r="U31" s="155"/>
      <c r="V31" s="243"/>
      <c r="W31" s="30"/>
      <c r="X31" s="30"/>
      <c r="Y31" s="30"/>
      <c r="Z31" s="30"/>
      <c r="AA31" s="30"/>
      <c r="AB31" s="30"/>
      <c r="AC31" s="31"/>
      <c r="AD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ht="12.75" customHeight="1" hidden="1">
      <c r="A32" s="182"/>
      <c r="C32" s="145" t="s">
        <v>1192</v>
      </c>
      <c r="D32" s="20"/>
      <c r="E32" s="270"/>
      <c r="F32" s="270"/>
      <c r="G32" s="5">
        <v>0</v>
      </c>
      <c r="H32" s="83"/>
      <c r="I32" s="12"/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54">
        <f t="shared" si="6"/>
        <v>0</v>
      </c>
      <c r="U32" s="155"/>
      <c r="V32" s="243"/>
      <c r="W32" s="30"/>
      <c r="X32" s="30"/>
      <c r="Y32" s="30"/>
      <c r="Z32" s="30"/>
      <c r="AA32" s="30"/>
      <c r="AB32" s="30"/>
      <c r="AC32" s="31"/>
      <c r="AD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2.75" customHeight="1" hidden="1">
      <c r="A33" s="182"/>
      <c r="B33" s="27" t="s">
        <v>1193</v>
      </c>
      <c r="C33" s="145" t="s">
        <v>1194</v>
      </c>
      <c r="D33" s="20">
        <v>0.223</v>
      </c>
      <c r="E33" s="270"/>
      <c r="F33" s="270"/>
      <c r="G33" s="5">
        <v>0</v>
      </c>
      <c r="H33" s="83"/>
      <c r="I33" s="12"/>
      <c r="J33" s="12">
        <v>0</v>
      </c>
      <c r="K33" s="12">
        <v>0</v>
      </c>
      <c r="L33" s="12">
        <v>0</v>
      </c>
      <c r="M33" s="12">
        <v>0.203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0.02</v>
      </c>
      <c r="T33" s="154">
        <f t="shared" si="6"/>
        <v>0</v>
      </c>
      <c r="U33" s="155"/>
      <c r="V33" s="243"/>
      <c r="W33" s="30"/>
      <c r="X33" s="30"/>
      <c r="Y33" s="30"/>
      <c r="Z33" s="30"/>
      <c r="AA33" s="30"/>
      <c r="AB33" s="30"/>
      <c r="AC33" s="31"/>
      <c r="AD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2.75" customHeight="1" hidden="1">
      <c r="A34" s="182"/>
      <c r="B34" s="27" t="s">
        <v>1195</v>
      </c>
      <c r="C34" s="145" t="s">
        <v>1196</v>
      </c>
      <c r="D34" s="20">
        <v>0.027</v>
      </c>
      <c r="E34" s="270"/>
      <c r="F34" s="270"/>
      <c r="G34" s="5">
        <v>0</v>
      </c>
      <c r="H34" s="83"/>
      <c r="I34" s="12"/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0.027</v>
      </c>
      <c r="T34" s="154">
        <f t="shared" si="6"/>
        <v>0</v>
      </c>
      <c r="U34" s="155"/>
      <c r="V34" s="243"/>
      <c r="W34" s="30"/>
      <c r="X34" s="30"/>
      <c r="Y34" s="30"/>
      <c r="Z34" s="30"/>
      <c r="AA34" s="30"/>
      <c r="AB34" s="30"/>
      <c r="AC34" s="31"/>
      <c r="AD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2.75" customHeight="1" hidden="1">
      <c r="A35" s="182"/>
      <c r="C35" s="145"/>
      <c r="D35" s="20"/>
      <c r="E35" s="270"/>
      <c r="F35" s="270"/>
      <c r="G35" s="5">
        <v>0</v>
      </c>
      <c r="H35" s="83"/>
      <c r="I35" s="12"/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54">
        <f t="shared" si="6"/>
        <v>0</v>
      </c>
      <c r="U35" s="155"/>
      <c r="V35" s="243"/>
      <c r="W35" s="30"/>
      <c r="X35" s="30"/>
      <c r="Y35" s="30"/>
      <c r="Z35" s="30"/>
      <c r="AA35" s="30"/>
      <c r="AB35" s="30"/>
      <c r="AC35" s="31"/>
      <c r="AD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t="12.75" customHeight="1" hidden="1">
      <c r="A36" s="182"/>
      <c r="C36" s="145" t="s">
        <v>1197</v>
      </c>
      <c r="D36" s="20"/>
      <c r="E36" s="270"/>
      <c r="F36" s="270"/>
      <c r="G36" s="5">
        <v>0</v>
      </c>
      <c r="H36" s="83"/>
      <c r="I36" s="12"/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54">
        <f t="shared" si="6"/>
        <v>0</v>
      </c>
      <c r="U36" s="155"/>
      <c r="V36" s="243"/>
      <c r="W36" s="30"/>
      <c r="X36" s="30"/>
      <c r="Y36" s="30"/>
      <c r="Z36" s="30"/>
      <c r="AA36" s="30"/>
      <c r="AB36" s="30"/>
      <c r="AC36" s="31"/>
      <c r="AD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t="12.75" customHeight="1" hidden="1">
      <c r="A37" s="182"/>
      <c r="C37" s="145" t="s">
        <v>1192</v>
      </c>
      <c r="D37" s="20"/>
      <c r="E37" s="270"/>
      <c r="F37" s="270"/>
      <c r="G37" s="5">
        <v>0</v>
      </c>
      <c r="H37" s="83"/>
      <c r="I37" s="12"/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54">
        <f t="shared" si="6"/>
        <v>0</v>
      </c>
      <c r="U37" s="155"/>
      <c r="V37" s="243"/>
      <c r="W37" s="30"/>
      <c r="X37" s="30"/>
      <c r="Y37" s="30"/>
      <c r="Z37" s="30"/>
      <c r="AA37" s="30"/>
      <c r="AB37" s="30"/>
      <c r="AC37" s="31"/>
      <c r="AD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t="12.75" customHeight="1" hidden="1">
      <c r="A38" s="182"/>
      <c r="B38" s="27" t="s">
        <v>1198</v>
      </c>
      <c r="C38" s="145" t="s">
        <v>1199</v>
      </c>
      <c r="D38" s="20">
        <v>1.394</v>
      </c>
      <c r="E38" s="270"/>
      <c r="F38" s="270"/>
      <c r="G38" s="5">
        <v>0.171</v>
      </c>
      <c r="H38" s="83"/>
      <c r="I38" s="12"/>
      <c r="J38" s="12">
        <v>0.035</v>
      </c>
      <c r="K38" s="12">
        <v>0.129</v>
      </c>
      <c r="L38" s="12">
        <v>0.182</v>
      </c>
      <c r="M38" s="12">
        <v>0.182</v>
      </c>
      <c r="N38" s="12">
        <v>0.182</v>
      </c>
      <c r="O38" s="12">
        <v>0.182</v>
      </c>
      <c r="P38" s="12">
        <v>0.182</v>
      </c>
      <c r="Q38" s="12">
        <v>0</v>
      </c>
      <c r="R38" s="12">
        <v>0.194</v>
      </c>
      <c r="S38" s="12">
        <v>0.127</v>
      </c>
      <c r="T38" s="154">
        <f t="shared" si="6"/>
        <v>0.346</v>
      </c>
      <c r="U38" s="155"/>
      <c r="V38" s="243"/>
      <c r="W38" s="30"/>
      <c r="X38" s="30"/>
      <c r="Y38" s="30"/>
      <c r="Z38" s="30"/>
      <c r="AA38" s="30"/>
      <c r="AB38" s="30"/>
      <c r="AC38" s="31"/>
      <c r="AD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t="12.75" customHeight="1" hidden="1">
      <c r="A39" s="182"/>
      <c r="C39" s="145" t="s">
        <v>1200</v>
      </c>
      <c r="D39" s="20"/>
      <c r="E39" s="270"/>
      <c r="F39" s="270"/>
      <c r="G39" s="5">
        <v>0</v>
      </c>
      <c r="H39" s="83"/>
      <c r="I39" s="12"/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54">
        <f t="shared" si="6"/>
        <v>0</v>
      </c>
      <c r="U39" s="155"/>
      <c r="V39" s="243"/>
      <c r="W39" s="30"/>
      <c r="X39" s="30"/>
      <c r="Y39" s="30"/>
      <c r="Z39" s="30"/>
      <c r="AA39" s="30"/>
      <c r="AB39" s="30"/>
      <c r="AC39" s="31"/>
      <c r="AD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ht="12.75" customHeight="1" hidden="1">
      <c r="A40" s="182"/>
      <c r="B40" s="27" t="s">
        <v>1201</v>
      </c>
      <c r="C40" s="145" t="s">
        <v>1202</v>
      </c>
      <c r="D40" s="20">
        <v>1.709</v>
      </c>
      <c r="E40" s="270"/>
      <c r="F40" s="270"/>
      <c r="G40" s="5">
        <v>0.607</v>
      </c>
      <c r="H40" s="83"/>
      <c r="I40" s="12"/>
      <c r="J40" s="12">
        <v>0.087</v>
      </c>
      <c r="K40" s="12">
        <v>0.151</v>
      </c>
      <c r="L40" s="12">
        <v>0.206</v>
      </c>
      <c r="M40" s="12">
        <v>0.212</v>
      </c>
      <c r="N40" s="12">
        <v>0.246</v>
      </c>
      <c r="O40" s="12">
        <v>0.246</v>
      </c>
      <c r="P40" s="12">
        <v>0.19</v>
      </c>
      <c r="Q40" s="12">
        <v>0.178</v>
      </c>
      <c r="R40" s="12">
        <v>0</v>
      </c>
      <c r="S40" s="12">
        <v>0.152</v>
      </c>
      <c r="T40" s="154">
        <f t="shared" si="6"/>
        <v>0.44399999999999995</v>
      </c>
      <c r="U40" s="155"/>
      <c r="V40" s="243"/>
      <c r="W40" s="30"/>
      <c r="X40" s="30"/>
      <c r="Y40" s="30"/>
      <c r="Z40" s="30"/>
      <c r="AA40" s="30"/>
      <c r="AB40" s="30"/>
      <c r="AC40" s="31"/>
      <c r="AD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t="12.75" customHeight="1" hidden="1">
      <c r="A41" s="182"/>
      <c r="C41" s="145"/>
      <c r="D41" s="20"/>
      <c r="E41" s="270"/>
      <c r="F41" s="270"/>
      <c r="G41" s="5">
        <v>0</v>
      </c>
      <c r="H41" s="83"/>
      <c r="I41" s="12"/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54">
        <f t="shared" si="6"/>
        <v>0</v>
      </c>
      <c r="U41" s="155"/>
      <c r="V41" s="243"/>
      <c r="W41" s="30"/>
      <c r="X41" s="30"/>
      <c r="Y41" s="30"/>
      <c r="Z41" s="30"/>
      <c r="AA41" s="30"/>
      <c r="AB41" s="30"/>
      <c r="AC41" s="31"/>
      <c r="AD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t="12.75" customHeight="1" hidden="1">
      <c r="A42" s="182"/>
      <c r="C42" s="145" t="s">
        <v>1203</v>
      </c>
      <c r="D42" s="20"/>
      <c r="E42" s="270"/>
      <c r="F42" s="270"/>
      <c r="G42" s="5">
        <v>0</v>
      </c>
      <c r="H42" s="83"/>
      <c r="I42" s="12"/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54">
        <f t="shared" si="6"/>
        <v>0</v>
      </c>
      <c r="U42" s="155"/>
      <c r="V42" s="243"/>
      <c r="W42" s="30"/>
      <c r="X42" s="30"/>
      <c r="Y42" s="30"/>
      <c r="Z42" s="30"/>
      <c r="AA42" s="30"/>
      <c r="AB42" s="30"/>
      <c r="AC42" s="31"/>
      <c r="AD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t="12.75" customHeight="1" hidden="1">
      <c r="A43" s="182"/>
      <c r="C43" s="145" t="s">
        <v>1192</v>
      </c>
      <c r="D43" s="20"/>
      <c r="E43" s="270"/>
      <c r="F43" s="270"/>
      <c r="G43" s="5">
        <v>0</v>
      </c>
      <c r="H43" s="83"/>
      <c r="I43" s="12"/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54">
        <f t="shared" si="6"/>
        <v>0</v>
      </c>
      <c r="U43" s="155"/>
      <c r="V43" s="243"/>
      <c r="W43" s="30"/>
      <c r="X43" s="30"/>
      <c r="Y43" s="30"/>
      <c r="Z43" s="30"/>
      <c r="AA43" s="30"/>
      <c r="AB43" s="30"/>
      <c r="AC43" s="31"/>
      <c r="AD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t="12.75" customHeight="1" hidden="1">
      <c r="A44" s="182"/>
      <c r="B44" s="27" t="s">
        <v>1204</v>
      </c>
      <c r="C44" s="145" t="s">
        <v>1205</v>
      </c>
      <c r="D44" s="20">
        <v>1.483</v>
      </c>
      <c r="E44" s="270"/>
      <c r="F44" s="270"/>
      <c r="G44" s="5">
        <v>1.199</v>
      </c>
      <c r="H44" s="45"/>
      <c r="J44" s="6">
        <v>0.036</v>
      </c>
      <c r="K44" s="6">
        <v>0.812</v>
      </c>
      <c r="L44" s="6">
        <v>0.406</v>
      </c>
      <c r="M44" s="6">
        <v>0.185</v>
      </c>
      <c r="N44" s="6">
        <v>0</v>
      </c>
      <c r="O44" s="6">
        <v>0</v>
      </c>
      <c r="P44" s="6">
        <v>0.04</v>
      </c>
      <c r="Q44" s="6">
        <v>0</v>
      </c>
      <c r="R44" s="6">
        <v>0</v>
      </c>
      <c r="S44" s="6">
        <v>0.167</v>
      </c>
      <c r="T44" s="154">
        <f t="shared" si="6"/>
        <v>1.254</v>
      </c>
      <c r="U44" s="155"/>
      <c r="V44" s="243"/>
      <c r="W44" s="30"/>
      <c r="X44" s="30"/>
      <c r="Y44" s="30"/>
      <c r="Z44" s="30"/>
      <c r="AA44" s="30"/>
      <c r="AB44" s="30"/>
      <c r="AC44" s="31"/>
      <c r="AD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t="12.75" customHeight="1" hidden="1">
      <c r="A45" s="182"/>
      <c r="B45" s="27" t="s">
        <v>1206</v>
      </c>
      <c r="C45" s="145" t="s">
        <v>1207</v>
      </c>
      <c r="D45" s="20">
        <v>0.538</v>
      </c>
      <c r="E45" s="270"/>
      <c r="F45" s="270"/>
      <c r="G45" s="5">
        <v>0.346</v>
      </c>
      <c r="H45" s="83"/>
      <c r="I45" s="12"/>
      <c r="J45" s="12">
        <v>0.036</v>
      </c>
      <c r="K45" s="12">
        <v>0.097</v>
      </c>
      <c r="L45" s="12">
        <v>0.249</v>
      </c>
      <c r="M45" s="6">
        <v>0.135</v>
      </c>
      <c r="N45" s="6">
        <v>0.012</v>
      </c>
      <c r="O45" s="6">
        <v>0</v>
      </c>
      <c r="P45" s="12">
        <v>0.018</v>
      </c>
      <c r="Q45" s="12">
        <v>0</v>
      </c>
      <c r="R45" s="12">
        <v>0</v>
      </c>
      <c r="S45" s="12">
        <v>0.071</v>
      </c>
      <c r="T45" s="154">
        <f t="shared" si="6"/>
        <v>0.382</v>
      </c>
      <c r="U45" s="155"/>
      <c r="V45" s="243"/>
      <c r="W45" s="30"/>
      <c r="X45" s="30"/>
      <c r="Y45" s="30"/>
      <c r="Z45" s="30"/>
      <c r="AA45" s="30"/>
      <c r="AB45" s="30"/>
      <c r="AC45" s="31"/>
      <c r="AD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t="12.75" customHeight="1" hidden="1">
      <c r="A46" s="182"/>
      <c r="B46" s="27" t="s">
        <v>1208</v>
      </c>
      <c r="C46" s="145" t="s">
        <v>1209</v>
      </c>
      <c r="D46" s="20">
        <v>0.586</v>
      </c>
      <c r="E46" s="270"/>
      <c r="F46" s="270"/>
      <c r="G46" s="5">
        <v>0.043</v>
      </c>
      <c r="H46" s="83"/>
      <c r="I46" s="12"/>
      <c r="J46" s="12">
        <v>0.036</v>
      </c>
      <c r="K46" s="12">
        <v>0</v>
      </c>
      <c r="L46" s="12">
        <v>0</v>
      </c>
      <c r="M46" s="12">
        <v>0.073</v>
      </c>
      <c r="N46" s="12">
        <v>0.298</v>
      </c>
      <c r="O46" s="12">
        <v>0.144</v>
      </c>
      <c r="P46" s="12">
        <v>0</v>
      </c>
      <c r="Q46" s="12">
        <v>0</v>
      </c>
      <c r="R46" s="12">
        <v>0</v>
      </c>
      <c r="S46" s="12">
        <v>0.096</v>
      </c>
      <c r="T46" s="154">
        <f t="shared" si="6"/>
        <v>0.036</v>
      </c>
      <c r="U46" s="155"/>
      <c r="V46" s="243"/>
      <c r="W46" s="30"/>
      <c r="X46" s="30"/>
      <c r="Y46" s="30"/>
      <c r="Z46" s="30"/>
      <c r="AA46" s="30"/>
      <c r="AB46" s="30"/>
      <c r="AC46" s="31"/>
      <c r="AD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12.75" customHeight="1" hidden="1">
      <c r="A47" s="182"/>
      <c r="C47" s="145" t="s">
        <v>1200</v>
      </c>
      <c r="D47" s="20"/>
      <c r="E47" s="270"/>
      <c r="F47" s="270"/>
      <c r="G47" s="5">
        <v>0</v>
      </c>
      <c r="H47" s="83"/>
      <c r="I47" s="12"/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54">
        <f t="shared" si="6"/>
        <v>0</v>
      </c>
      <c r="U47" s="155"/>
      <c r="V47" s="243"/>
      <c r="W47" s="30"/>
      <c r="X47" s="30"/>
      <c r="Y47" s="30"/>
      <c r="Z47" s="30"/>
      <c r="AA47" s="30"/>
      <c r="AB47" s="30"/>
      <c r="AC47" s="31"/>
      <c r="AD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2.75" customHeight="1" hidden="1">
      <c r="A48" s="182"/>
      <c r="B48" s="27" t="s">
        <v>1210</v>
      </c>
      <c r="C48" s="145" t="s">
        <v>1211</v>
      </c>
      <c r="D48" s="20">
        <v>0.202</v>
      </c>
      <c r="E48" s="270"/>
      <c r="F48" s="270"/>
      <c r="G48" s="5">
        <v>0.202</v>
      </c>
      <c r="H48" s="83"/>
      <c r="I48" s="12"/>
      <c r="J48" s="12">
        <v>0.183</v>
      </c>
      <c r="K48" s="12">
        <v>0.014</v>
      </c>
      <c r="L48" s="12">
        <v>0</v>
      </c>
      <c r="M48" s="12">
        <v>0.002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0.01</v>
      </c>
      <c r="T48" s="154">
        <f t="shared" si="6"/>
        <v>0.197</v>
      </c>
      <c r="U48" s="155"/>
      <c r="V48" s="243"/>
      <c r="W48" s="30"/>
      <c r="X48" s="30"/>
      <c r="Y48" s="30"/>
      <c r="Z48" s="30"/>
      <c r="AA48" s="30"/>
      <c r="AB48" s="30"/>
      <c r="AC48" s="31"/>
      <c r="AD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>
        <f>SUM(AF48:AU48)</f>
        <v>0</v>
      </c>
    </row>
    <row r="49" spans="1:48" ht="12.75" customHeight="1" hidden="1">
      <c r="A49" s="182"/>
      <c r="B49" s="27" t="s">
        <v>1212</v>
      </c>
      <c r="C49" s="145" t="s">
        <v>1213</v>
      </c>
      <c r="D49" s="20">
        <v>0.148</v>
      </c>
      <c r="E49" s="270"/>
      <c r="F49" s="270"/>
      <c r="G49" s="5">
        <v>0.137</v>
      </c>
      <c r="H49" s="83"/>
      <c r="I49" s="12"/>
      <c r="J49" s="12">
        <v>0</v>
      </c>
      <c r="K49" s="12">
        <v>0.063</v>
      </c>
      <c r="L49" s="12">
        <v>0.028</v>
      </c>
      <c r="M49" s="12">
        <v>0.04</v>
      </c>
      <c r="N49" s="12">
        <v>0.011</v>
      </c>
      <c r="O49" s="12">
        <v>0</v>
      </c>
      <c r="P49" s="12">
        <v>0</v>
      </c>
      <c r="Q49" s="12">
        <v>0</v>
      </c>
      <c r="R49" s="12">
        <v>0</v>
      </c>
      <c r="S49" s="12">
        <v>0.044</v>
      </c>
      <c r="T49" s="154">
        <f t="shared" si="6"/>
        <v>0.091</v>
      </c>
      <c r="U49" s="155"/>
      <c r="V49" s="243"/>
      <c r="W49" s="30"/>
      <c r="X49" s="30"/>
      <c r="Y49" s="30"/>
      <c r="Z49" s="30"/>
      <c r="AA49" s="30"/>
      <c r="AB49" s="30"/>
      <c r="AC49" s="31"/>
      <c r="AD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>
        <f>SUM(AF49:AU49)</f>
        <v>0</v>
      </c>
    </row>
    <row r="50" spans="1:48" ht="12.75" customHeight="1" hidden="1">
      <c r="A50" s="182"/>
      <c r="B50" s="21"/>
      <c r="C50" s="145"/>
      <c r="D50" s="20"/>
      <c r="E50" s="270"/>
      <c r="F50" s="270"/>
      <c r="G50" s="5">
        <v>0</v>
      </c>
      <c r="H50" s="83"/>
      <c r="I50" s="12"/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54">
        <f t="shared" si="6"/>
        <v>0</v>
      </c>
      <c r="U50" s="155"/>
      <c r="V50" s="243"/>
      <c r="W50" s="30"/>
      <c r="X50" s="30"/>
      <c r="Y50" s="30"/>
      <c r="Z50" s="30"/>
      <c r="AA50" s="30"/>
      <c r="AB50" s="30"/>
      <c r="AC50" s="31"/>
      <c r="AD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12.75" customHeight="1" hidden="1">
      <c r="A51" s="182"/>
      <c r="B51" s="21"/>
      <c r="C51" s="145" t="s">
        <v>1214</v>
      </c>
      <c r="D51" s="20"/>
      <c r="E51" s="270"/>
      <c r="F51" s="270"/>
      <c r="G51" s="5">
        <v>0</v>
      </c>
      <c r="H51" s="83"/>
      <c r="I51" s="12"/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54">
        <f t="shared" si="6"/>
        <v>0</v>
      </c>
      <c r="U51" s="155"/>
      <c r="V51" s="243"/>
      <c r="W51" s="30"/>
      <c r="X51" s="30"/>
      <c r="Y51" s="30"/>
      <c r="Z51" s="30"/>
      <c r="AA51" s="30"/>
      <c r="AB51" s="30"/>
      <c r="AC51" s="31"/>
      <c r="AD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ht="12.75" customHeight="1" hidden="1">
      <c r="A52" s="182"/>
      <c r="B52" s="21"/>
      <c r="C52" s="145" t="s">
        <v>1179</v>
      </c>
      <c r="D52" s="20"/>
      <c r="E52" s="270"/>
      <c r="F52" s="269"/>
      <c r="G52" s="5">
        <v>0</v>
      </c>
      <c r="H52" s="83"/>
      <c r="I52" s="12"/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54">
        <f t="shared" si="6"/>
        <v>0</v>
      </c>
      <c r="U52" s="155"/>
      <c r="V52" s="243"/>
      <c r="W52" s="30"/>
      <c r="X52" s="153"/>
      <c r="Y52" s="30"/>
      <c r="Z52" s="30"/>
      <c r="AA52" s="30"/>
      <c r="AB52" s="30"/>
      <c r="AC52" s="31"/>
      <c r="AD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>
        <f>SUM(AF52:AU52)</f>
        <v>0</v>
      </c>
    </row>
    <row r="53" spans="1:48" ht="12.75" customHeight="1" hidden="1">
      <c r="A53" s="182"/>
      <c r="B53" s="21" t="s">
        <v>1215</v>
      </c>
      <c r="C53" s="145" t="s">
        <v>1216</v>
      </c>
      <c r="D53" s="20">
        <v>0.025</v>
      </c>
      <c r="E53" s="270"/>
      <c r="F53" s="269"/>
      <c r="G53" s="5">
        <v>0</v>
      </c>
      <c r="H53" s="83"/>
      <c r="I53" s="12"/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0.025</v>
      </c>
      <c r="T53" s="154">
        <f t="shared" si="6"/>
        <v>0</v>
      </c>
      <c r="U53" s="155"/>
      <c r="V53" s="243"/>
      <c r="W53" s="30"/>
      <c r="X53" s="30"/>
      <c r="Y53" s="30"/>
      <c r="Z53" s="30"/>
      <c r="AA53" s="30"/>
      <c r="AB53" s="30"/>
      <c r="AC53" s="31"/>
      <c r="AD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>
        <f aca="true" t="shared" si="7" ref="AV53:AV59">SUM(AF53:AU53)</f>
        <v>0</v>
      </c>
    </row>
    <row r="54" spans="1:48" ht="12.75" customHeight="1" hidden="1">
      <c r="A54" s="182"/>
      <c r="B54" s="21"/>
      <c r="C54" s="145" t="s">
        <v>1217</v>
      </c>
      <c r="D54" s="20"/>
      <c r="E54" s="270"/>
      <c r="F54" s="269"/>
      <c r="G54" s="5">
        <v>0</v>
      </c>
      <c r="H54" s="83"/>
      <c r="I54" s="12"/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54">
        <f t="shared" si="6"/>
        <v>0</v>
      </c>
      <c r="U54" s="155"/>
      <c r="V54" s="243"/>
      <c r="W54" s="30"/>
      <c r="X54" s="30"/>
      <c r="Y54" s="30"/>
      <c r="Z54" s="30"/>
      <c r="AA54" s="30"/>
      <c r="AB54" s="30"/>
      <c r="AC54" s="31"/>
      <c r="AD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>
        <f t="shared" si="7"/>
        <v>0</v>
      </c>
    </row>
    <row r="55" spans="1:48" ht="12.75" customHeight="1" hidden="1">
      <c r="A55" s="182"/>
      <c r="B55" s="21" t="s">
        <v>1218</v>
      </c>
      <c r="C55" s="145" t="s">
        <v>1219</v>
      </c>
      <c r="D55" s="20">
        <v>0.341</v>
      </c>
      <c r="F55" s="270"/>
      <c r="G55" s="5">
        <v>0.036</v>
      </c>
      <c r="H55" s="83"/>
      <c r="I55" s="12"/>
      <c r="J55" s="12">
        <v>0.102</v>
      </c>
      <c r="K55" s="12">
        <v>0.208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0.031</v>
      </c>
      <c r="T55" s="154">
        <f t="shared" si="6"/>
        <v>0.31</v>
      </c>
      <c r="U55" s="155"/>
      <c r="V55" s="243"/>
      <c r="W55" s="30"/>
      <c r="X55" s="153"/>
      <c r="Y55" s="30"/>
      <c r="Z55" s="30"/>
      <c r="AA55" s="30"/>
      <c r="AB55" s="30"/>
      <c r="AC55" s="31"/>
      <c r="AD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>
        <f t="shared" si="7"/>
        <v>0</v>
      </c>
    </row>
    <row r="56" spans="1:48" ht="12.75" customHeight="1" hidden="1">
      <c r="A56" s="182"/>
      <c r="B56" s="21" t="s">
        <v>1220</v>
      </c>
      <c r="C56" s="145" t="s">
        <v>1221</v>
      </c>
      <c r="D56" s="20">
        <v>0.68</v>
      </c>
      <c r="F56" s="269"/>
      <c r="G56" s="5">
        <v>0.372</v>
      </c>
      <c r="H56" s="83"/>
      <c r="I56" s="12"/>
      <c r="J56" s="12">
        <v>0.286</v>
      </c>
      <c r="K56" s="12">
        <v>0.208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0.049</v>
      </c>
      <c r="T56" s="154">
        <f t="shared" si="6"/>
        <v>0.494</v>
      </c>
      <c r="U56" s="155"/>
      <c r="V56" s="243"/>
      <c r="W56" s="30"/>
      <c r="X56" s="153"/>
      <c r="Y56" s="30"/>
      <c r="Z56" s="30"/>
      <c r="AA56" s="30"/>
      <c r="AB56" s="30"/>
      <c r="AC56" s="31"/>
      <c r="AD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>
        <f t="shared" si="7"/>
        <v>0</v>
      </c>
    </row>
    <row r="57" spans="1:48" ht="12.75" customHeight="1" hidden="1">
      <c r="A57" s="182"/>
      <c r="B57" s="21" t="s">
        <v>1222</v>
      </c>
      <c r="C57" s="145" t="s">
        <v>1223</v>
      </c>
      <c r="D57" s="20">
        <v>0.097</v>
      </c>
      <c r="F57" s="269"/>
      <c r="G57" s="5">
        <v>0</v>
      </c>
      <c r="H57" s="83"/>
      <c r="I57" s="12"/>
      <c r="J57" s="12">
        <v>0</v>
      </c>
      <c r="K57" s="12">
        <v>0.027</v>
      </c>
      <c r="L57" s="12">
        <v>0.003</v>
      </c>
      <c r="M57" s="12">
        <v>0.058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0.009</v>
      </c>
      <c r="T57" s="154">
        <f t="shared" si="6"/>
        <v>0.03</v>
      </c>
      <c r="U57" s="155"/>
      <c r="V57" s="243"/>
      <c r="W57" s="30"/>
      <c r="X57" s="153"/>
      <c r="Y57" s="30"/>
      <c r="Z57" s="30"/>
      <c r="AA57" s="30"/>
      <c r="AB57" s="30"/>
      <c r="AC57" s="31"/>
      <c r="AD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>
        <f t="shared" si="7"/>
        <v>0</v>
      </c>
    </row>
    <row r="58" spans="1:48" ht="12.75" customHeight="1" hidden="1">
      <c r="A58" s="170"/>
      <c r="B58" s="183"/>
      <c r="C58" s="145" t="s">
        <v>1192</v>
      </c>
      <c r="D58" s="20"/>
      <c r="E58" s="270"/>
      <c r="F58" s="269"/>
      <c r="G58" s="5">
        <v>0</v>
      </c>
      <c r="H58" s="82"/>
      <c r="I58" s="27">
        <f>SUM(I59:I371)</f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154">
        <f t="shared" si="6"/>
        <v>0</v>
      </c>
      <c r="U58" s="155"/>
      <c r="V58" s="243"/>
      <c r="W58" s="31">
        <f>SUM(W59:W371)</f>
        <v>0</v>
      </c>
      <c r="X58" s="31">
        <f aca="true" t="shared" si="8" ref="X58:AD58">SUM(X59:X371)</f>
        <v>0</v>
      </c>
      <c r="Y58" s="31">
        <f t="shared" si="8"/>
        <v>0</v>
      </c>
      <c r="Z58" s="31">
        <f t="shared" si="8"/>
        <v>0</v>
      </c>
      <c r="AA58" s="31">
        <f t="shared" si="8"/>
        <v>0</v>
      </c>
      <c r="AB58" s="31">
        <f t="shared" si="8"/>
        <v>0</v>
      </c>
      <c r="AC58" s="31">
        <f t="shared" si="8"/>
        <v>0</v>
      </c>
      <c r="AD58" s="31">
        <f t="shared" si="8"/>
        <v>0</v>
      </c>
      <c r="AF58" s="31">
        <f aca="true" t="shared" si="9" ref="AF58:AU58">SUM(AF59:AF371)</f>
        <v>0</v>
      </c>
      <c r="AG58" s="31">
        <f t="shared" si="9"/>
        <v>0</v>
      </c>
      <c r="AH58" s="31">
        <f t="shared" si="9"/>
        <v>0</v>
      </c>
      <c r="AI58" s="31">
        <f t="shared" si="9"/>
        <v>0</v>
      </c>
      <c r="AJ58" s="31">
        <f t="shared" si="9"/>
        <v>0</v>
      </c>
      <c r="AK58" s="31">
        <f t="shared" si="9"/>
        <v>0</v>
      </c>
      <c r="AL58" s="31">
        <f t="shared" si="9"/>
        <v>0</v>
      </c>
      <c r="AM58" s="31">
        <f t="shared" si="9"/>
        <v>0</v>
      </c>
      <c r="AN58" s="31">
        <f t="shared" si="9"/>
        <v>0</v>
      </c>
      <c r="AO58" s="31">
        <f t="shared" si="9"/>
        <v>0</v>
      </c>
      <c r="AP58" s="31">
        <f t="shared" si="9"/>
        <v>0</v>
      </c>
      <c r="AQ58" s="31">
        <f t="shared" si="9"/>
        <v>0</v>
      </c>
      <c r="AR58" s="31">
        <f t="shared" si="9"/>
        <v>0</v>
      </c>
      <c r="AS58" s="31">
        <f t="shared" si="9"/>
        <v>0</v>
      </c>
      <c r="AT58" s="31">
        <f t="shared" si="9"/>
        <v>0</v>
      </c>
      <c r="AU58" s="31">
        <f t="shared" si="9"/>
        <v>0</v>
      </c>
      <c r="AV58" s="31">
        <f t="shared" si="7"/>
        <v>0</v>
      </c>
    </row>
    <row r="59" spans="2:48" ht="12.75" hidden="1">
      <c r="B59" s="21" t="s">
        <v>1224</v>
      </c>
      <c r="C59" s="145" t="s">
        <v>1225</v>
      </c>
      <c r="D59" s="20">
        <v>0.424</v>
      </c>
      <c r="F59" s="269"/>
      <c r="G59" s="5">
        <v>0</v>
      </c>
      <c r="H59" s="83"/>
      <c r="I59" s="12"/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0.125</v>
      </c>
      <c r="P59" s="12">
        <v>0.05</v>
      </c>
      <c r="Q59" s="12">
        <v>0.116</v>
      </c>
      <c r="R59" s="12">
        <v>0.094</v>
      </c>
      <c r="S59" s="12">
        <v>0.039</v>
      </c>
      <c r="T59" s="154">
        <f t="shared" si="6"/>
        <v>0</v>
      </c>
      <c r="U59" s="155"/>
      <c r="V59" s="243"/>
      <c r="W59" s="30"/>
      <c r="X59" s="30"/>
      <c r="Y59" s="30"/>
      <c r="Z59" s="30"/>
      <c r="AA59" s="30"/>
      <c r="AB59" s="30"/>
      <c r="AC59" s="31"/>
      <c r="AD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>
        <f t="shared" si="7"/>
        <v>0</v>
      </c>
    </row>
    <row r="60" spans="2:48" ht="12.75" hidden="1">
      <c r="B60" s="21"/>
      <c r="C60" s="145" t="s">
        <v>1200</v>
      </c>
      <c r="D60" s="20"/>
      <c r="G60" s="5">
        <v>0</v>
      </c>
      <c r="H60" s="83"/>
      <c r="I60" s="12"/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54">
        <f t="shared" si="6"/>
        <v>0</v>
      </c>
      <c r="U60" s="155"/>
      <c r="V60" s="243"/>
      <c r="W60" s="30"/>
      <c r="X60" s="30"/>
      <c r="Y60" s="30"/>
      <c r="Z60" s="30"/>
      <c r="AA60" s="30"/>
      <c r="AB60" s="30"/>
      <c r="AC60" s="31"/>
      <c r="AD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2:48" ht="12.75" hidden="1">
      <c r="B61" s="21" t="s">
        <v>1226</v>
      </c>
      <c r="C61" s="145" t="s">
        <v>1227</v>
      </c>
      <c r="D61" s="20">
        <v>0.983</v>
      </c>
      <c r="E61" s="270"/>
      <c r="F61" s="270"/>
      <c r="G61" s="5">
        <v>0</v>
      </c>
      <c r="H61" s="83"/>
      <c r="I61" s="12"/>
      <c r="J61" s="12">
        <v>0</v>
      </c>
      <c r="K61" s="12">
        <v>0</v>
      </c>
      <c r="L61" s="12">
        <v>0.248</v>
      </c>
      <c r="M61" s="12">
        <v>0.293</v>
      </c>
      <c r="N61" s="12">
        <v>0.197</v>
      </c>
      <c r="O61" s="12">
        <v>0.095</v>
      </c>
      <c r="P61" s="12">
        <v>0.037</v>
      </c>
      <c r="Q61" s="12">
        <v>0.05</v>
      </c>
      <c r="R61" s="12">
        <v>0</v>
      </c>
      <c r="S61" s="12">
        <v>0.092</v>
      </c>
      <c r="T61" s="154">
        <f t="shared" si="6"/>
        <v>0.248</v>
      </c>
      <c r="U61" s="155"/>
      <c r="V61" s="243"/>
      <c r="W61" s="30"/>
      <c r="X61" s="30"/>
      <c r="Y61" s="30"/>
      <c r="Z61" s="30"/>
      <c r="AA61" s="30"/>
      <c r="AB61" s="30"/>
      <c r="AC61" s="31"/>
      <c r="AD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2:48" ht="12.75" hidden="1">
      <c r="B62" s="21"/>
      <c r="C62" s="145" t="s">
        <v>1228</v>
      </c>
      <c r="D62" s="20">
        <v>0</v>
      </c>
      <c r="E62" s="270"/>
      <c r="F62" s="270"/>
      <c r="G62" s="5">
        <v>0</v>
      </c>
      <c r="H62" s="83"/>
      <c r="I62" s="12"/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54">
        <f t="shared" si="6"/>
        <v>0</v>
      </c>
      <c r="U62" s="155"/>
      <c r="V62" s="243"/>
      <c r="W62" s="30"/>
      <c r="X62" s="30"/>
      <c r="Y62" s="30"/>
      <c r="Z62" s="30"/>
      <c r="AA62" s="30"/>
      <c r="AB62" s="30"/>
      <c r="AC62" s="31"/>
      <c r="AD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t="12.75">
      <c r="A63" s="27" t="s">
        <v>769</v>
      </c>
      <c r="B63" s="181" t="s">
        <v>858</v>
      </c>
      <c r="C63" s="145" t="s">
        <v>478</v>
      </c>
      <c r="D63" s="20">
        <f>SUM(D64:D77)</f>
        <v>0.45199999999999996</v>
      </c>
      <c r="E63" s="270"/>
      <c r="F63" s="270"/>
      <c r="G63" s="5">
        <f>SUM(G64:G77)</f>
        <v>0.07</v>
      </c>
      <c r="H63" s="83"/>
      <c r="I63" s="12">
        <f>SUM(I64:I77)</f>
        <v>0</v>
      </c>
      <c r="J63" s="12">
        <f aca="true" t="shared" si="10" ref="J63:T63">SUM(J64:J77)</f>
        <v>0.03</v>
      </c>
      <c r="K63" s="12">
        <f t="shared" si="10"/>
        <v>0.044000000000000004</v>
      </c>
      <c r="L63" s="12">
        <f t="shared" si="10"/>
        <v>0.068</v>
      </c>
      <c r="M63" s="12">
        <f t="shared" si="10"/>
        <v>0.021</v>
      </c>
      <c r="N63" s="12">
        <f t="shared" si="10"/>
        <v>0.043</v>
      </c>
      <c r="O63" s="12">
        <f t="shared" si="10"/>
        <v>0.041999999999999996</v>
      </c>
      <c r="P63" s="12">
        <f t="shared" si="10"/>
        <v>0.043</v>
      </c>
      <c r="Q63" s="12">
        <f t="shared" si="10"/>
        <v>0.04</v>
      </c>
      <c r="R63" s="12">
        <f t="shared" si="10"/>
        <v>0.04</v>
      </c>
      <c r="S63" s="12">
        <f t="shared" si="10"/>
        <v>1.301</v>
      </c>
      <c r="T63" s="9">
        <f t="shared" si="10"/>
        <v>0.142</v>
      </c>
      <c r="U63" s="83"/>
      <c r="V63" s="243"/>
      <c r="W63" s="30"/>
      <c r="X63" s="30"/>
      <c r="Y63" s="30"/>
      <c r="Z63" s="30"/>
      <c r="AA63" s="30"/>
      <c r="AB63" s="30"/>
      <c r="AC63" s="31"/>
      <c r="AD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2:48" ht="12.75" hidden="1">
      <c r="B64" s="21" t="s">
        <v>1229</v>
      </c>
      <c r="C64" s="145" t="s">
        <v>1230</v>
      </c>
      <c r="D64" s="20">
        <v>0.11</v>
      </c>
      <c r="E64" s="270"/>
      <c r="F64" s="270"/>
      <c r="G64" s="5">
        <v>0</v>
      </c>
      <c r="H64" s="83"/>
      <c r="I64" s="12"/>
      <c r="J64" s="12">
        <v>0</v>
      </c>
      <c r="K64" s="12">
        <v>0</v>
      </c>
      <c r="L64" s="12">
        <v>0</v>
      </c>
      <c r="M64" s="12">
        <v>0</v>
      </c>
      <c r="N64" s="12">
        <v>0.02</v>
      </c>
      <c r="O64" s="12">
        <v>0.02</v>
      </c>
      <c r="P64" s="12">
        <v>0.02</v>
      </c>
      <c r="Q64" s="12">
        <v>0.02</v>
      </c>
      <c r="R64" s="12">
        <v>0.02</v>
      </c>
      <c r="S64" s="12">
        <v>0.01</v>
      </c>
      <c r="T64" s="154">
        <f aca="true" t="shared" si="11" ref="T64:T95">SUM(H64:L64)</f>
        <v>0</v>
      </c>
      <c r="U64" s="155"/>
      <c r="V64" s="243"/>
      <c r="W64" s="30"/>
      <c r="X64" s="30"/>
      <c r="Y64" s="30"/>
      <c r="Z64" s="30"/>
      <c r="AA64" s="30"/>
      <c r="AB64" s="30"/>
      <c r="AC64" s="31"/>
      <c r="AD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2:48" ht="12.75" hidden="1">
      <c r="B65" s="21"/>
      <c r="C65" s="145"/>
      <c r="D65" s="20">
        <v>0</v>
      </c>
      <c r="E65" s="270"/>
      <c r="F65" s="270"/>
      <c r="G65" s="5">
        <v>0</v>
      </c>
      <c r="H65" s="83"/>
      <c r="I65" s="12"/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54">
        <f t="shared" si="11"/>
        <v>0</v>
      </c>
      <c r="U65" s="155"/>
      <c r="V65" s="243"/>
      <c r="W65" s="30"/>
      <c r="X65" s="30"/>
      <c r="Y65" s="30"/>
      <c r="Z65" s="30"/>
      <c r="AA65" s="30"/>
      <c r="AB65" s="30"/>
      <c r="AC65" s="31"/>
      <c r="AD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2:48" ht="12.75" hidden="1">
      <c r="B66" s="21" t="s">
        <v>1231</v>
      </c>
      <c r="C66" s="145" t="s">
        <v>1232</v>
      </c>
      <c r="D66" s="20">
        <v>0.044</v>
      </c>
      <c r="E66" s="270"/>
      <c r="F66" s="270"/>
      <c r="G66" s="5">
        <v>0.023</v>
      </c>
      <c r="H66" s="83"/>
      <c r="I66" s="12"/>
      <c r="J66" s="12">
        <v>0.023</v>
      </c>
      <c r="K66" s="12">
        <v>0.003</v>
      </c>
      <c r="L66" s="12">
        <v>0.003</v>
      </c>
      <c r="M66" s="12">
        <v>0.003</v>
      </c>
      <c r="N66" s="12">
        <v>0.003</v>
      </c>
      <c r="O66" s="12">
        <v>0.002</v>
      </c>
      <c r="P66" s="12">
        <v>0.003</v>
      </c>
      <c r="Q66" s="12">
        <v>0</v>
      </c>
      <c r="R66" s="12">
        <v>0</v>
      </c>
      <c r="S66" s="12">
        <v>0.004</v>
      </c>
      <c r="T66" s="154">
        <f t="shared" si="11"/>
        <v>0.028999999999999998</v>
      </c>
      <c r="U66" s="155"/>
      <c r="V66" s="243"/>
      <c r="W66" s="30"/>
      <c r="X66" s="30"/>
      <c r="Y66" s="30"/>
      <c r="Z66" s="30"/>
      <c r="AA66" s="30"/>
      <c r="AB66" s="30"/>
      <c r="AC66" s="31"/>
      <c r="AD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2:48" ht="12.75" hidden="1">
      <c r="B67" s="21" t="s">
        <v>1233</v>
      </c>
      <c r="C67" s="145" t="s">
        <v>1234</v>
      </c>
      <c r="D67" s="20">
        <v>0.044</v>
      </c>
      <c r="E67" s="270"/>
      <c r="F67" s="270"/>
      <c r="G67" s="5">
        <v>0.006</v>
      </c>
      <c r="H67" s="83"/>
      <c r="I67" s="12"/>
      <c r="J67" s="12">
        <v>0.007</v>
      </c>
      <c r="K67" s="12">
        <v>0</v>
      </c>
      <c r="L67" s="12">
        <v>0</v>
      </c>
      <c r="M67" s="12">
        <v>0.003</v>
      </c>
      <c r="N67" s="12">
        <v>0.005</v>
      </c>
      <c r="O67" s="12">
        <v>0.005</v>
      </c>
      <c r="P67" s="12">
        <v>0.005</v>
      </c>
      <c r="Q67" s="12">
        <v>0.005</v>
      </c>
      <c r="R67" s="12">
        <v>0.005</v>
      </c>
      <c r="S67" s="12">
        <v>0.009</v>
      </c>
      <c r="T67" s="154">
        <f t="shared" si="11"/>
        <v>0.007</v>
      </c>
      <c r="U67" s="155"/>
      <c r="V67" s="243"/>
      <c r="W67" s="30"/>
      <c r="X67" s="30"/>
      <c r="Y67" s="30"/>
      <c r="Z67" s="30"/>
      <c r="AA67" s="30"/>
      <c r="AB67" s="30"/>
      <c r="AC67" s="31"/>
      <c r="AD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2:48" ht="12.75" hidden="1">
      <c r="B68" s="21" t="s">
        <v>1235</v>
      </c>
      <c r="C68" s="145" t="s">
        <v>1236</v>
      </c>
      <c r="D68" s="20">
        <v>0.044</v>
      </c>
      <c r="E68" s="270"/>
      <c r="F68" s="270"/>
      <c r="G68" s="5">
        <v>0</v>
      </c>
      <c r="H68" s="83"/>
      <c r="I68" s="12"/>
      <c r="J68" s="12">
        <v>0</v>
      </c>
      <c r="K68" s="12">
        <v>0</v>
      </c>
      <c r="L68" s="12">
        <v>0.005</v>
      </c>
      <c r="M68" s="12">
        <v>0.005</v>
      </c>
      <c r="N68" s="12">
        <v>0.005</v>
      </c>
      <c r="O68" s="12">
        <v>0.005</v>
      </c>
      <c r="P68" s="12">
        <v>0.005</v>
      </c>
      <c r="Q68" s="12">
        <v>0.005</v>
      </c>
      <c r="R68" s="12">
        <v>0.005</v>
      </c>
      <c r="S68" s="12">
        <v>0.009</v>
      </c>
      <c r="T68" s="154">
        <f t="shared" si="11"/>
        <v>0.005</v>
      </c>
      <c r="U68" s="155"/>
      <c r="V68" s="243"/>
      <c r="W68" s="30"/>
      <c r="X68" s="30"/>
      <c r="Y68" s="30"/>
      <c r="Z68" s="30"/>
      <c r="AA68" s="30"/>
      <c r="AB68" s="30"/>
      <c r="AC68" s="31"/>
      <c r="AD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2:48" ht="12.75" hidden="1">
      <c r="B69" s="21" t="s">
        <v>1237</v>
      </c>
      <c r="C69" s="145" t="s">
        <v>1238</v>
      </c>
      <c r="D69" s="20">
        <v>0.044</v>
      </c>
      <c r="E69" s="270"/>
      <c r="F69" s="270"/>
      <c r="G69" s="5">
        <v>0</v>
      </c>
      <c r="H69" s="83"/>
      <c r="I69" s="12"/>
      <c r="J69" s="12">
        <v>0</v>
      </c>
      <c r="K69" s="12">
        <v>0</v>
      </c>
      <c r="L69" s="12">
        <v>0.005</v>
      </c>
      <c r="M69" s="12">
        <v>0.005</v>
      </c>
      <c r="N69" s="12">
        <v>0.005</v>
      </c>
      <c r="O69" s="12">
        <v>0.005</v>
      </c>
      <c r="P69" s="12">
        <v>0.005</v>
      </c>
      <c r="Q69" s="12">
        <v>0.005</v>
      </c>
      <c r="R69" s="12">
        <v>0.005</v>
      </c>
      <c r="S69" s="12">
        <v>0.009</v>
      </c>
      <c r="T69" s="154">
        <f t="shared" si="11"/>
        <v>0.005</v>
      </c>
      <c r="U69" s="155"/>
      <c r="V69" s="243"/>
      <c r="W69" s="30"/>
      <c r="X69" s="30"/>
      <c r="Y69" s="30"/>
      <c r="Z69" s="30"/>
      <c r="AA69" s="30"/>
      <c r="AB69" s="30"/>
      <c r="AC69" s="31"/>
      <c r="AD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2:48" ht="12.75" hidden="1">
      <c r="B70" s="21" t="s">
        <v>1259</v>
      </c>
      <c r="C70" s="145" t="s">
        <v>1260</v>
      </c>
      <c r="D70" s="20">
        <v>0.044</v>
      </c>
      <c r="E70" s="270"/>
      <c r="F70" s="270"/>
      <c r="G70" s="5">
        <v>0</v>
      </c>
      <c r="H70" s="83"/>
      <c r="I70" s="12"/>
      <c r="J70" s="12">
        <v>0</v>
      </c>
      <c r="K70" s="12">
        <v>0</v>
      </c>
      <c r="L70" s="12">
        <v>0.005</v>
      </c>
      <c r="M70" s="12">
        <v>0.005</v>
      </c>
      <c r="N70" s="12">
        <v>0.005</v>
      </c>
      <c r="O70" s="12">
        <v>0.005</v>
      </c>
      <c r="P70" s="12">
        <v>0.005</v>
      </c>
      <c r="Q70" s="12">
        <v>0.005</v>
      </c>
      <c r="R70" s="12">
        <v>0.005</v>
      </c>
      <c r="S70" s="12">
        <v>0.009</v>
      </c>
      <c r="T70" s="154">
        <f t="shared" si="11"/>
        <v>0.005</v>
      </c>
      <c r="U70" s="155"/>
      <c r="V70" s="243"/>
      <c r="W70" s="30"/>
      <c r="X70" s="30"/>
      <c r="Y70" s="30"/>
      <c r="Z70" s="30"/>
      <c r="AA70" s="30"/>
      <c r="AB70" s="30"/>
      <c r="AC70" s="31"/>
      <c r="AD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2:48" ht="12.75" hidden="1">
      <c r="B71" s="21"/>
      <c r="C71" s="145"/>
      <c r="D71" s="20">
        <v>0</v>
      </c>
      <c r="E71" s="270"/>
      <c r="F71" s="270"/>
      <c r="G71" s="5">
        <v>0</v>
      </c>
      <c r="H71" s="83"/>
      <c r="I71" s="12"/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54">
        <f t="shared" si="11"/>
        <v>0</v>
      </c>
      <c r="U71" s="155"/>
      <c r="V71" s="243"/>
      <c r="W71" s="30"/>
      <c r="X71" s="30"/>
      <c r="Y71" s="30"/>
      <c r="Z71" s="30"/>
      <c r="AA71" s="30"/>
      <c r="AB71" s="30"/>
      <c r="AC71" s="31"/>
      <c r="AD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2:48" ht="12.75" hidden="1">
      <c r="B72" s="21"/>
      <c r="C72" s="145" t="s">
        <v>1261</v>
      </c>
      <c r="D72" s="20">
        <v>0</v>
      </c>
      <c r="E72" s="270"/>
      <c r="F72" s="270"/>
      <c r="G72" s="5">
        <v>0</v>
      </c>
      <c r="H72" s="83"/>
      <c r="I72" s="12"/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0.5</v>
      </c>
      <c r="T72" s="154">
        <f t="shared" si="11"/>
        <v>0</v>
      </c>
      <c r="U72" s="155"/>
      <c r="V72" s="243"/>
      <c r="W72" s="30"/>
      <c r="X72" s="30"/>
      <c r="Y72" s="30"/>
      <c r="Z72" s="30"/>
      <c r="AA72" s="30"/>
      <c r="AB72" s="30"/>
      <c r="AC72" s="31"/>
      <c r="AD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2:48" ht="12.75" hidden="1">
      <c r="B73" s="21"/>
      <c r="C73" s="145" t="s">
        <v>1262</v>
      </c>
      <c r="D73" s="20">
        <v>0</v>
      </c>
      <c r="E73" s="270"/>
      <c r="F73" s="270"/>
      <c r="G73" s="5">
        <v>0</v>
      </c>
      <c r="H73" s="83"/>
      <c r="I73" s="12"/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0.15</v>
      </c>
      <c r="T73" s="154">
        <f t="shared" si="11"/>
        <v>0</v>
      </c>
      <c r="U73" s="155"/>
      <c r="V73" s="243"/>
      <c r="W73" s="30"/>
      <c r="X73" s="30"/>
      <c r="Y73" s="30"/>
      <c r="Z73" s="30"/>
      <c r="AA73" s="30"/>
      <c r="AB73" s="30"/>
      <c r="AC73" s="31"/>
      <c r="AD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2:48" ht="12.75" hidden="1">
      <c r="B74" s="21"/>
      <c r="C74" s="145" t="s">
        <v>195</v>
      </c>
      <c r="D74" s="20">
        <v>0</v>
      </c>
      <c r="E74" s="270"/>
      <c r="F74" s="270"/>
      <c r="G74" s="5"/>
      <c r="H74" s="83"/>
      <c r="I74" s="12"/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0.02</v>
      </c>
      <c r="T74" s="154">
        <f t="shared" si="11"/>
        <v>0</v>
      </c>
      <c r="U74" s="155"/>
      <c r="V74" s="243"/>
      <c r="W74" s="30"/>
      <c r="X74" s="30"/>
      <c r="Y74" s="30"/>
      <c r="Z74" s="30"/>
      <c r="AA74" s="30"/>
      <c r="AB74" s="30"/>
      <c r="AC74" s="31"/>
      <c r="AD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2:48" ht="12.75" hidden="1">
      <c r="B75" s="21"/>
      <c r="C75" s="145" t="s">
        <v>1263</v>
      </c>
      <c r="D75" s="20">
        <v>0</v>
      </c>
      <c r="E75" s="270"/>
      <c r="F75" s="270"/>
      <c r="G75" s="5">
        <v>0</v>
      </c>
      <c r="H75" s="83"/>
      <c r="I75" s="12"/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0.55</v>
      </c>
      <c r="T75" s="154">
        <f t="shared" si="11"/>
        <v>0</v>
      </c>
      <c r="U75" s="155"/>
      <c r="V75" s="243"/>
      <c r="W75" s="30"/>
      <c r="X75" s="30"/>
      <c r="Y75" s="30"/>
      <c r="Z75" s="30"/>
      <c r="AA75" s="30"/>
      <c r="AB75" s="30"/>
      <c r="AC75" s="31"/>
      <c r="AD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2:48" ht="12.75" hidden="1">
      <c r="B76" s="21"/>
      <c r="C76" s="145" t="s">
        <v>1264</v>
      </c>
      <c r="D76" s="20">
        <v>0.022</v>
      </c>
      <c r="E76" s="270"/>
      <c r="F76" s="270"/>
      <c r="G76" s="5">
        <v>0</v>
      </c>
      <c r="H76" s="83"/>
      <c r="I76" s="12"/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0.022</v>
      </c>
      <c r="T76" s="154">
        <f t="shared" si="11"/>
        <v>0</v>
      </c>
      <c r="U76" s="155"/>
      <c r="V76" s="243"/>
      <c r="W76" s="30"/>
      <c r="X76" s="30"/>
      <c r="Y76" s="30"/>
      <c r="Z76" s="30"/>
      <c r="AA76" s="30"/>
      <c r="AB76" s="30"/>
      <c r="AC76" s="31"/>
      <c r="AD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2:48" ht="12.75" hidden="1">
      <c r="B77" s="21"/>
      <c r="C77" s="145" t="s">
        <v>1265</v>
      </c>
      <c r="D77" s="20">
        <v>0.1</v>
      </c>
      <c r="E77" s="270"/>
      <c r="F77" s="270"/>
      <c r="G77" s="5">
        <v>0.041</v>
      </c>
      <c r="H77" s="83"/>
      <c r="I77" s="12"/>
      <c r="J77" s="12">
        <v>0</v>
      </c>
      <c r="K77" s="12">
        <v>0.041</v>
      </c>
      <c r="L77" s="12">
        <v>0.05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0.009</v>
      </c>
      <c r="T77" s="154">
        <f t="shared" si="11"/>
        <v>0.091</v>
      </c>
      <c r="U77" s="155"/>
      <c r="V77" s="243"/>
      <c r="W77" s="30"/>
      <c r="X77" s="30"/>
      <c r="Y77" s="30"/>
      <c r="Z77" s="30"/>
      <c r="AA77" s="30"/>
      <c r="AB77" s="30"/>
      <c r="AC77" s="31"/>
      <c r="AD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2:48" ht="12.75" hidden="1">
      <c r="B78" s="21"/>
      <c r="C78" s="145"/>
      <c r="D78" s="20"/>
      <c r="E78" s="270"/>
      <c r="F78" s="270"/>
      <c r="G78" s="5"/>
      <c r="H78" s="8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54">
        <f t="shared" si="11"/>
        <v>0</v>
      </c>
      <c r="U78" s="155"/>
      <c r="V78" s="243"/>
      <c r="W78" s="30"/>
      <c r="X78" s="30"/>
      <c r="Y78" s="30"/>
      <c r="Z78" s="30"/>
      <c r="AA78" s="30"/>
      <c r="AB78" s="30"/>
      <c r="AC78" s="31"/>
      <c r="AD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ht="13.5" customHeight="1">
      <c r="A79" s="27" t="s">
        <v>770</v>
      </c>
      <c r="B79" s="181" t="s">
        <v>858</v>
      </c>
      <c r="C79" s="145" t="s">
        <v>479</v>
      </c>
      <c r="D79" s="20">
        <f>SUM(D80:D125)</f>
        <v>4.449999999999998</v>
      </c>
      <c r="E79" s="270"/>
      <c r="F79" s="270"/>
      <c r="G79" s="5">
        <f>SUM(G80:G125)</f>
        <v>1.7970000000000002</v>
      </c>
      <c r="H79" s="83"/>
      <c r="I79" s="12"/>
      <c r="J79" s="27">
        <f>SUM(J80:J125)</f>
        <v>0.748</v>
      </c>
      <c r="K79" s="27">
        <f aca="true" t="shared" si="12" ref="K79:P79">SUM(K80:K125)</f>
        <v>1.147</v>
      </c>
      <c r="L79" s="27">
        <f t="shared" si="12"/>
        <v>0.5680000000000001</v>
      </c>
      <c r="M79" s="27">
        <f t="shared" si="12"/>
        <v>0.42</v>
      </c>
      <c r="N79" s="27">
        <f t="shared" si="12"/>
        <v>0.33</v>
      </c>
      <c r="O79" s="27">
        <f t="shared" si="12"/>
        <v>0.276</v>
      </c>
      <c r="P79" s="27">
        <f t="shared" si="12"/>
        <v>0.231</v>
      </c>
      <c r="Q79" s="27">
        <f>SUM(Q80:Q125)</f>
        <v>0.023</v>
      </c>
      <c r="R79" s="27">
        <f>SUM(R80:R125)</f>
        <v>0.082</v>
      </c>
      <c r="S79" s="27">
        <f>SUM(S80:S125)</f>
        <v>0.41200000000000003</v>
      </c>
      <c r="T79" s="154">
        <f t="shared" si="11"/>
        <v>2.463</v>
      </c>
      <c r="U79" s="155"/>
      <c r="V79" s="243"/>
      <c r="W79" s="30"/>
      <c r="X79" s="30"/>
      <c r="Y79" s="30"/>
      <c r="Z79" s="30"/>
      <c r="AA79" s="30"/>
      <c r="AB79" s="30"/>
      <c r="AC79" s="31"/>
      <c r="AD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2:48" ht="12.75" hidden="1">
      <c r="B80" t="s">
        <v>1266</v>
      </c>
      <c r="C80" s="187" t="s">
        <v>1267</v>
      </c>
      <c r="D80" s="191">
        <v>1.129</v>
      </c>
      <c r="E80" s="272"/>
      <c r="F80" s="272"/>
      <c r="G80" s="330">
        <v>0.457</v>
      </c>
      <c r="H80" s="83"/>
      <c r="I80" s="12"/>
      <c r="J80" s="12">
        <v>0.284</v>
      </c>
      <c r="K80" s="12">
        <v>0.15</v>
      </c>
      <c r="L80" s="12">
        <v>0.15</v>
      </c>
      <c r="M80" s="12">
        <v>0.15</v>
      </c>
      <c r="N80" s="12">
        <v>0.15</v>
      </c>
      <c r="O80" s="12">
        <v>0.133</v>
      </c>
      <c r="P80" s="12">
        <v>0.1</v>
      </c>
      <c r="Q80" s="12">
        <v>0</v>
      </c>
      <c r="R80" s="12">
        <v>0</v>
      </c>
      <c r="S80" s="12">
        <v>0.112</v>
      </c>
      <c r="T80" s="154">
        <f t="shared" si="11"/>
        <v>0.584</v>
      </c>
      <c r="U80" s="155"/>
      <c r="V80" s="243"/>
      <c r="W80" s="30"/>
      <c r="X80" s="30"/>
      <c r="Y80" s="30"/>
      <c r="Z80" s="30"/>
      <c r="AA80" s="30"/>
      <c r="AB80" s="30"/>
      <c r="AC80" s="31"/>
      <c r="AD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2:48" ht="12.75" hidden="1">
      <c r="B81" t="s">
        <v>1268</v>
      </c>
      <c r="C81" s="187" t="s">
        <v>1269</v>
      </c>
      <c r="D81" s="191">
        <v>0</v>
      </c>
      <c r="E81" s="272"/>
      <c r="F81" s="272"/>
      <c r="G81" s="330">
        <v>0</v>
      </c>
      <c r="H81" s="83"/>
      <c r="I81" s="12"/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54">
        <f t="shared" si="11"/>
        <v>0</v>
      </c>
      <c r="U81" s="155"/>
      <c r="V81" s="243"/>
      <c r="W81" s="30"/>
      <c r="X81" s="30"/>
      <c r="Y81" s="30"/>
      <c r="Z81" s="30"/>
      <c r="AA81" s="30"/>
      <c r="AB81" s="30"/>
      <c r="AC81" s="31"/>
      <c r="AD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2:48" ht="12.75" hidden="1">
      <c r="B82" t="s">
        <v>1270</v>
      </c>
      <c r="C82" s="187" t="s">
        <v>1271</v>
      </c>
      <c r="D82" s="191">
        <v>0.847</v>
      </c>
      <c r="E82" s="272"/>
      <c r="F82" s="272"/>
      <c r="G82" s="330">
        <v>0.258</v>
      </c>
      <c r="H82" s="83"/>
      <c r="I82" s="12"/>
      <c r="J82" s="12">
        <v>0.111</v>
      </c>
      <c r="K82" s="12">
        <v>0.142</v>
      </c>
      <c r="L82" s="12">
        <v>0.1</v>
      </c>
      <c r="M82" s="12">
        <v>0.1</v>
      </c>
      <c r="N82" s="12">
        <v>0.1</v>
      </c>
      <c r="O82" s="12">
        <v>0.1</v>
      </c>
      <c r="P82" s="12">
        <v>0.086</v>
      </c>
      <c r="Q82" s="12">
        <v>0</v>
      </c>
      <c r="R82" s="12">
        <v>0.031</v>
      </c>
      <c r="S82" s="12">
        <v>0.077</v>
      </c>
      <c r="T82" s="154">
        <f t="shared" si="11"/>
        <v>0.353</v>
      </c>
      <c r="U82" s="155"/>
      <c r="V82" s="243"/>
      <c r="W82" s="30"/>
      <c r="X82" s="30"/>
      <c r="Y82" s="30"/>
      <c r="Z82" s="30"/>
      <c r="AA82" s="30"/>
      <c r="AB82" s="30"/>
      <c r="AC82" s="31"/>
      <c r="AD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2:48" ht="12.75" hidden="1">
      <c r="B83"/>
      <c r="C83" s="187" t="s">
        <v>1272</v>
      </c>
      <c r="D83" s="191">
        <v>0.06</v>
      </c>
      <c r="E83" s="272"/>
      <c r="F83" s="272"/>
      <c r="G83" s="330">
        <v>0</v>
      </c>
      <c r="H83" s="83"/>
      <c r="I83" s="12"/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0.012</v>
      </c>
      <c r="Q83" s="12">
        <v>0</v>
      </c>
      <c r="R83" s="12">
        <v>0.02</v>
      </c>
      <c r="S83" s="12">
        <v>0.029</v>
      </c>
      <c r="T83" s="154">
        <f t="shared" si="11"/>
        <v>0</v>
      </c>
      <c r="U83" s="155"/>
      <c r="V83" s="243"/>
      <c r="W83" s="30"/>
      <c r="X83" s="30"/>
      <c r="Y83" s="30"/>
      <c r="Z83" s="30"/>
      <c r="AA83" s="30"/>
      <c r="AB83" s="30"/>
      <c r="AC83" s="31"/>
      <c r="AD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2:48" ht="12.75" hidden="1">
      <c r="B84" t="s">
        <v>1273</v>
      </c>
      <c r="C84" s="187" t="s">
        <v>1274</v>
      </c>
      <c r="D84" s="191">
        <v>0.005</v>
      </c>
      <c r="E84" s="272"/>
      <c r="F84" s="272"/>
      <c r="G84" s="330">
        <v>0.001</v>
      </c>
      <c r="H84" s="83"/>
      <c r="I84" s="12"/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0.006</v>
      </c>
      <c r="T84" s="154">
        <f t="shared" si="11"/>
        <v>0</v>
      </c>
      <c r="U84" s="155"/>
      <c r="V84" s="243"/>
      <c r="W84" s="30"/>
      <c r="X84" s="30"/>
      <c r="Y84" s="30"/>
      <c r="Z84" s="30"/>
      <c r="AA84" s="30"/>
      <c r="AB84" s="30"/>
      <c r="AC84" s="31"/>
      <c r="AD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2:48" ht="12.75" hidden="1">
      <c r="B85" t="s">
        <v>1275</v>
      </c>
      <c r="C85" s="187" t="s">
        <v>1276</v>
      </c>
      <c r="D85" s="191">
        <v>0.009</v>
      </c>
      <c r="E85" s="272"/>
      <c r="F85" s="272"/>
      <c r="G85" s="330">
        <v>0</v>
      </c>
      <c r="H85" s="83"/>
      <c r="I85" s="12"/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0.008</v>
      </c>
      <c r="S85" s="12">
        <v>0.001</v>
      </c>
      <c r="T85" s="154">
        <f t="shared" si="11"/>
        <v>0</v>
      </c>
      <c r="U85" s="155"/>
      <c r="V85" s="243"/>
      <c r="W85" s="30"/>
      <c r="X85" s="30"/>
      <c r="Y85" s="30"/>
      <c r="Z85" s="30"/>
      <c r="AA85" s="30"/>
      <c r="AB85" s="30"/>
      <c r="AC85" s="31"/>
      <c r="AD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2:48" ht="12.75" hidden="1">
      <c r="B86" t="s">
        <v>1277</v>
      </c>
      <c r="C86" s="187" t="s">
        <v>1278</v>
      </c>
      <c r="D86" s="191">
        <v>0</v>
      </c>
      <c r="E86" s="272"/>
      <c r="F86" s="272"/>
      <c r="G86" s="330">
        <v>0</v>
      </c>
      <c r="H86" s="83"/>
      <c r="I86" s="12"/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54">
        <f t="shared" si="11"/>
        <v>0</v>
      </c>
      <c r="U86" s="155"/>
      <c r="V86" s="243"/>
      <c r="W86" s="30"/>
      <c r="X86" s="30"/>
      <c r="Y86" s="30"/>
      <c r="Z86" s="30"/>
      <c r="AA86" s="30"/>
      <c r="AB86" s="30"/>
      <c r="AC86" s="31"/>
      <c r="AD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2:48" ht="12.75" hidden="1">
      <c r="B87" t="s">
        <v>1279</v>
      </c>
      <c r="C87" s="187" t="s">
        <v>1280</v>
      </c>
      <c r="D87" s="191">
        <v>0</v>
      </c>
      <c r="E87" s="272"/>
      <c r="F87" s="272"/>
      <c r="G87" s="330">
        <v>0</v>
      </c>
      <c r="H87" s="83"/>
      <c r="I87" s="12"/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54">
        <f t="shared" si="11"/>
        <v>0</v>
      </c>
      <c r="U87" s="155"/>
      <c r="V87" s="243"/>
      <c r="W87" s="30"/>
      <c r="X87" s="30"/>
      <c r="Y87" s="30"/>
      <c r="Z87" s="30"/>
      <c r="AA87" s="30"/>
      <c r="AB87" s="30"/>
      <c r="AC87" s="31"/>
      <c r="AD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2:48" ht="12.75" hidden="1">
      <c r="B88" t="s">
        <v>1281</v>
      </c>
      <c r="C88" s="187" t="s">
        <v>1282</v>
      </c>
      <c r="D88" s="191">
        <v>0</v>
      </c>
      <c r="E88" s="272"/>
      <c r="F88" s="272"/>
      <c r="G88" s="330">
        <v>0</v>
      </c>
      <c r="H88" s="83"/>
      <c r="I88" s="12"/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54">
        <f t="shared" si="11"/>
        <v>0</v>
      </c>
      <c r="U88" s="155"/>
      <c r="V88" s="243"/>
      <c r="W88" s="30"/>
      <c r="X88" s="30"/>
      <c r="Y88" s="30"/>
      <c r="Z88" s="30"/>
      <c r="AA88" s="30"/>
      <c r="AB88" s="30"/>
      <c r="AC88" s="31"/>
      <c r="AD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2:48" ht="12.75" hidden="1">
      <c r="B89" t="s">
        <v>1283</v>
      </c>
      <c r="C89" s="187" t="s">
        <v>1284</v>
      </c>
      <c r="D89" s="191">
        <v>0.18</v>
      </c>
      <c r="E89" s="272"/>
      <c r="F89" s="272"/>
      <c r="G89" s="330">
        <v>0.111</v>
      </c>
      <c r="H89" s="83"/>
      <c r="I89" s="12"/>
      <c r="J89" s="12">
        <v>0.046</v>
      </c>
      <c r="K89" s="12">
        <v>0.005</v>
      </c>
      <c r="L89" s="12">
        <v>0.03</v>
      </c>
      <c r="M89" s="12">
        <v>0</v>
      </c>
      <c r="N89" s="12">
        <v>0.03</v>
      </c>
      <c r="O89" s="12">
        <v>0</v>
      </c>
      <c r="P89" s="12">
        <v>0.03</v>
      </c>
      <c r="Q89" s="12">
        <v>0</v>
      </c>
      <c r="R89" s="12">
        <v>0.023</v>
      </c>
      <c r="S89" s="12">
        <v>0.016</v>
      </c>
      <c r="T89" s="154">
        <f t="shared" si="11"/>
        <v>0.08099999999999999</v>
      </c>
      <c r="U89" s="155"/>
      <c r="V89" s="243"/>
      <c r="W89" s="30"/>
      <c r="X89" s="30"/>
      <c r="Y89" s="30"/>
      <c r="Z89" s="30"/>
      <c r="AA89" s="30"/>
      <c r="AB89" s="30"/>
      <c r="AC89" s="31"/>
      <c r="AD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2:48" ht="12.75" hidden="1">
      <c r="B90"/>
      <c r="C90" s="187" t="s">
        <v>1285</v>
      </c>
      <c r="D90" s="191">
        <v>0.001</v>
      </c>
      <c r="E90" s="272"/>
      <c r="F90" s="272"/>
      <c r="G90" s="330">
        <v>0</v>
      </c>
      <c r="H90" s="83"/>
      <c r="I90" s="12"/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0.001</v>
      </c>
      <c r="P90" s="12">
        <v>0</v>
      </c>
      <c r="Q90" s="12">
        <v>0</v>
      </c>
      <c r="R90" s="12">
        <v>0</v>
      </c>
      <c r="S90" s="12">
        <v>0</v>
      </c>
      <c r="T90" s="154">
        <f t="shared" si="11"/>
        <v>0</v>
      </c>
      <c r="U90" s="155"/>
      <c r="V90" s="243"/>
      <c r="W90" s="30"/>
      <c r="X90" s="30"/>
      <c r="Y90" s="30"/>
      <c r="Z90" s="30"/>
      <c r="AA90" s="30"/>
      <c r="AB90" s="30"/>
      <c r="AC90" s="31"/>
      <c r="AD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2:48" ht="12.75" hidden="1">
      <c r="B91" t="s">
        <v>1286</v>
      </c>
      <c r="C91" s="187" t="s">
        <v>1287</v>
      </c>
      <c r="D91" s="191">
        <v>0</v>
      </c>
      <c r="E91" s="272"/>
      <c r="F91" s="272"/>
      <c r="G91" s="330">
        <v>0</v>
      </c>
      <c r="H91" s="83"/>
      <c r="I91" s="12"/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54">
        <f t="shared" si="11"/>
        <v>0</v>
      </c>
      <c r="U91" s="155"/>
      <c r="V91" s="243"/>
      <c r="W91" s="30"/>
      <c r="X91" s="30"/>
      <c r="Y91" s="30"/>
      <c r="Z91" s="30"/>
      <c r="AA91" s="30"/>
      <c r="AB91" s="30"/>
      <c r="AC91" s="31"/>
      <c r="AD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2:48" ht="12.75" hidden="1">
      <c r="B92" t="s">
        <v>1288</v>
      </c>
      <c r="C92" s="187" t="s">
        <v>1289</v>
      </c>
      <c r="D92" s="191">
        <v>0</v>
      </c>
      <c r="E92" s="272"/>
      <c r="F92" s="272"/>
      <c r="G92" s="330">
        <v>0</v>
      </c>
      <c r="H92" s="83"/>
      <c r="I92" s="12"/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54">
        <f t="shared" si="11"/>
        <v>0</v>
      </c>
      <c r="U92" s="155"/>
      <c r="V92" s="243"/>
      <c r="W92" s="30"/>
      <c r="X92" s="30"/>
      <c r="Y92" s="30"/>
      <c r="Z92" s="30"/>
      <c r="AA92" s="30"/>
      <c r="AB92" s="30"/>
      <c r="AC92" s="31"/>
      <c r="AD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2:48" ht="12.75" hidden="1">
      <c r="B93" t="s">
        <v>1290</v>
      </c>
      <c r="C93" s="187" t="s">
        <v>1291</v>
      </c>
      <c r="D93" s="191">
        <v>0</v>
      </c>
      <c r="E93" s="272"/>
      <c r="F93" s="272"/>
      <c r="G93" s="330">
        <v>0</v>
      </c>
      <c r="H93" s="83"/>
      <c r="I93" s="12"/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54">
        <f t="shared" si="11"/>
        <v>0</v>
      </c>
      <c r="U93" s="155"/>
      <c r="V93" s="243"/>
      <c r="W93" s="30"/>
      <c r="X93" s="30"/>
      <c r="Y93" s="30"/>
      <c r="Z93" s="30"/>
      <c r="AA93" s="30"/>
      <c r="AB93" s="30"/>
      <c r="AC93" s="31"/>
      <c r="AD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2:48" ht="12.75" hidden="1">
      <c r="B94" t="s">
        <v>111</v>
      </c>
      <c r="C94" s="187" t="s">
        <v>1292</v>
      </c>
      <c r="D94" s="191">
        <v>0.016</v>
      </c>
      <c r="E94" s="272"/>
      <c r="F94" s="272"/>
      <c r="G94" s="330">
        <v>0.009</v>
      </c>
      <c r="H94" s="83"/>
      <c r="I94" s="12"/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54">
        <f t="shared" si="11"/>
        <v>0</v>
      </c>
      <c r="U94" s="155"/>
      <c r="V94" s="243"/>
      <c r="W94" s="30"/>
      <c r="X94" s="30"/>
      <c r="Y94" s="30"/>
      <c r="Z94" s="30"/>
      <c r="AA94" s="30"/>
      <c r="AB94" s="30"/>
      <c r="AC94" s="31"/>
      <c r="AD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2:48" ht="12.75" hidden="1">
      <c r="B95" t="s">
        <v>1147</v>
      </c>
      <c r="C95" s="187"/>
      <c r="D95" s="191">
        <v>0</v>
      </c>
      <c r="E95" s="272"/>
      <c r="F95" s="272"/>
      <c r="G95" s="330">
        <v>0</v>
      </c>
      <c r="H95" s="83"/>
      <c r="I95" s="12"/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54">
        <f t="shared" si="11"/>
        <v>0</v>
      </c>
      <c r="U95" s="155"/>
      <c r="V95" s="243"/>
      <c r="W95" s="30"/>
      <c r="X95" s="30"/>
      <c r="Y95" s="30"/>
      <c r="Z95" s="30"/>
      <c r="AA95" s="30"/>
      <c r="AB95" s="30"/>
      <c r="AC95" s="31"/>
      <c r="AD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2:48" ht="12.75" hidden="1">
      <c r="B96"/>
      <c r="C96" s="187" t="s">
        <v>1293</v>
      </c>
      <c r="D96" s="191">
        <v>0</v>
      </c>
      <c r="E96" s="272"/>
      <c r="F96" s="272"/>
      <c r="G96" s="330">
        <v>0</v>
      </c>
      <c r="H96" s="83"/>
      <c r="I96" s="12"/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54">
        <f aca="true" t="shared" si="13" ref="T96:T125">SUM(H96:L96)</f>
        <v>0</v>
      </c>
      <c r="U96" s="155"/>
      <c r="V96" s="243"/>
      <c r="W96" s="30"/>
      <c r="X96" s="30"/>
      <c r="Y96" s="30"/>
      <c r="Z96" s="30"/>
      <c r="AA96" s="30"/>
      <c r="AB96" s="30"/>
      <c r="AC96" s="31"/>
      <c r="AD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2:48" ht="12.75" hidden="1">
      <c r="B97"/>
      <c r="C97" s="187" t="s">
        <v>1294</v>
      </c>
      <c r="D97" s="191">
        <v>0</v>
      </c>
      <c r="E97" s="272"/>
      <c r="F97" s="272"/>
      <c r="G97" s="330">
        <v>0</v>
      </c>
      <c r="H97" s="83"/>
      <c r="I97" s="12"/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54">
        <f t="shared" si="13"/>
        <v>0</v>
      </c>
      <c r="U97" s="155"/>
      <c r="V97" s="243"/>
      <c r="W97" s="30"/>
      <c r="X97" s="30"/>
      <c r="Y97" s="30"/>
      <c r="Z97" s="30"/>
      <c r="AA97" s="30"/>
      <c r="AB97" s="30"/>
      <c r="AC97" s="31"/>
      <c r="AD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2:48" ht="12.75" hidden="1">
      <c r="B98" t="s">
        <v>1295</v>
      </c>
      <c r="C98" s="187" t="s">
        <v>1296</v>
      </c>
      <c r="D98" s="191">
        <v>0.002</v>
      </c>
      <c r="E98" s="272"/>
      <c r="F98" s="272"/>
      <c r="G98" s="330">
        <v>0</v>
      </c>
      <c r="H98" s="83"/>
      <c r="I98" s="12"/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0.002</v>
      </c>
      <c r="R98" s="12">
        <v>0</v>
      </c>
      <c r="S98" s="12">
        <v>0</v>
      </c>
      <c r="T98" s="154">
        <f t="shared" si="13"/>
        <v>0</v>
      </c>
      <c r="U98" s="155"/>
      <c r="V98" s="243"/>
      <c r="W98" s="30"/>
      <c r="X98" s="30"/>
      <c r="Y98" s="30"/>
      <c r="Z98" s="30"/>
      <c r="AA98" s="30"/>
      <c r="AB98" s="30"/>
      <c r="AC98" s="31"/>
      <c r="AD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2:48" ht="12.75" hidden="1">
      <c r="B99" t="s">
        <v>1297</v>
      </c>
      <c r="C99" s="187" t="s">
        <v>1298</v>
      </c>
      <c r="D99" s="191">
        <v>0.008</v>
      </c>
      <c r="E99" s="272"/>
      <c r="F99" s="272"/>
      <c r="G99" s="330">
        <v>0</v>
      </c>
      <c r="H99" s="83"/>
      <c r="I99" s="12"/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0.008</v>
      </c>
      <c r="R99" s="12">
        <v>0</v>
      </c>
      <c r="S99" s="12">
        <v>0.001</v>
      </c>
      <c r="T99" s="154">
        <f t="shared" si="13"/>
        <v>0</v>
      </c>
      <c r="U99" s="155"/>
      <c r="V99" s="243"/>
      <c r="W99" s="30"/>
      <c r="X99" s="30"/>
      <c r="Y99" s="30"/>
      <c r="Z99" s="30"/>
      <c r="AA99" s="30"/>
      <c r="AB99" s="30"/>
      <c r="AC99" s="31"/>
      <c r="AD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2:48" ht="12.75" hidden="1">
      <c r="B100" t="s">
        <v>1299</v>
      </c>
      <c r="C100" s="187" t="s">
        <v>1300</v>
      </c>
      <c r="D100" s="191">
        <v>0.004</v>
      </c>
      <c r="E100" s="272"/>
      <c r="F100" s="272"/>
      <c r="G100" s="330">
        <v>0</v>
      </c>
      <c r="H100" s="83"/>
      <c r="I100" s="12"/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0.003</v>
      </c>
      <c r="Q100" s="12">
        <v>0</v>
      </c>
      <c r="R100" s="12">
        <v>0</v>
      </c>
      <c r="S100" s="12">
        <v>0</v>
      </c>
      <c r="T100" s="154">
        <f t="shared" si="13"/>
        <v>0</v>
      </c>
      <c r="U100" s="155"/>
      <c r="V100" s="243"/>
      <c r="W100" s="30"/>
      <c r="X100" s="30"/>
      <c r="Y100" s="30"/>
      <c r="Z100" s="30"/>
      <c r="AA100" s="30"/>
      <c r="AB100" s="30"/>
      <c r="AC100" s="31"/>
      <c r="AD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2:48" ht="12.75" hidden="1">
      <c r="B101" t="s">
        <v>1301</v>
      </c>
      <c r="C101" s="187" t="s">
        <v>1302</v>
      </c>
      <c r="D101" s="191">
        <v>0.002</v>
      </c>
      <c r="E101" s="272"/>
      <c r="F101" s="272"/>
      <c r="G101" s="330">
        <v>0</v>
      </c>
      <c r="H101" s="83"/>
      <c r="I101" s="12"/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0.002</v>
      </c>
      <c r="R101" s="12">
        <v>0</v>
      </c>
      <c r="S101" s="12">
        <v>0</v>
      </c>
      <c r="T101" s="154">
        <f t="shared" si="13"/>
        <v>0</v>
      </c>
      <c r="U101" s="155"/>
      <c r="V101" s="243"/>
      <c r="W101" s="30"/>
      <c r="X101" s="30"/>
      <c r="Y101" s="30"/>
      <c r="Z101" s="30"/>
      <c r="AA101" s="30"/>
      <c r="AB101" s="30"/>
      <c r="AC101" s="31"/>
      <c r="AD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2:48" ht="12.75" hidden="1">
      <c r="B102"/>
      <c r="C102" s="187" t="s">
        <v>1303</v>
      </c>
      <c r="D102" s="191">
        <v>0</v>
      </c>
      <c r="E102" s="272"/>
      <c r="F102" s="272"/>
      <c r="G102" s="330">
        <v>0</v>
      </c>
      <c r="H102" s="83"/>
      <c r="I102" s="12"/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54">
        <f t="shared" si="13"/>
        <v>0</v>
      </c>
      <c r="U102" s="155"/>
      <c r="V102" s="243"/>
      <c r="W102" s="30"/>
      <c r="X102" s="30"/>
      <c r="Y102" s="30"/>
      <c r="Z102" s="30"/>
      <c r="AA102" s="30"/>
      <c r="AB102" s="30"/>
      <c r="AC102" s="31"/>
      <c r="AD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2:48" ht="12.75" hidden="1">
      <c r="B103"/>
      <c r="C103" s="187" t="s">
        <v>1304</v>
      </c>
      <c r="D103" s="191">
        <v>0.001</v>
      </c>
      <c r="E103" s="272"/>
      <c r="F103" s="272"/>
      <c r="G103" s="330">
        <v>0</v>
      </c>
      <c r="H103" s="83"/>
      <c r="I103" s="12"/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0.001</v>
      </c>
      <c r="R103" s="12">
        <v>0</v>
      </c>
      <c r="S103" s="12">
        <v>0</v>
      </c>
      <c r="T103" s="154">
        <f t="shared" si="13"/>
        <v>0</v>
      </c>
      <c r="U103" s="155"/>
      <c r="V103" s="243"/>
      <c r="W103" s="30"/>
      <c r="X103" s="30"/>
      <c r="Y103" s="30"/>
      <c r="Z103" s="30"/>
      <c r="AA103" s="30"/>
      <c r="AB103" s="30"/>
      <c r="AC103" s="31"/>
      <c r="AD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2:48" ht="12.75" hidden="1">
      <c r="B104"/>
      <c r="C104" s="187" t="s">
        <v>1305</v>
      </c>
      <c r="D104" s="191">
        <v>0</v>
      </c>
      <c r="E104" s="272"/>
      <c r="F104" s="272"/>
      <c r="G104" s="330">
        <v>0</v>
      </c>
      <c r="H104" s="83"/>
      <c r="I104" s="12"/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54">
        <f t="shared" si="13"/>
        <v>0</v>
      </c>
      <c r="U104" s="155"/>
      <c r="V104" s="243"/>
      <c r="W104" s="30"/>
      <c r="X104" s="30"/>
      <c r="Y104" s="30"/>
      <c r="Z104" s="30"/>
      <c r="AA104" s="30"/>
      <c r="AB104" s="30"/>
      <c r="AC104" s="31"/>
      <c r="AD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2:48" ht="12.75" hidden="1">
      <c r="B105"/>
      <c r="C105" s="187" t="s">
        <v>1306</v>
      </c>
      <c r="D105" s="191">
        <v>0</v>
      </c>
      <c r="E105" s="272"/>
      <c r="F105" s="272"/>
      <c r="G105" s="330">
        <v>0</v>
      </c>
      <c r="H105" s="83"/>
      <c r="I105" s="12"/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54">
        <f t="shared" si="13"/>
        <v>0</v>
      </c>
      <c r="U105" s="155"/>
      <c r="V105" s="243"/>
      <c r="W105" s="30"/>
      <c r="X105" s="30"/>
      <c r="Y105" s="30"/>
      <c r="Z105" s="30"/>
      <c r="AA105" s="30"/>
      <c r="AB105" s="30"/>
      <c r="AC105" s="31"/>
      <c r="AD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2:48" ht="12.75" hidden="1">
      <c r="B106"/>
      <c r="C106" s="187"/>
      <c r="D106" s="191">
        <v>0</v>
      </c>
      <c r="E106" s="272"/>
      <c r="F106" s="272"/>
      <c r="G106" s="330">
        <v>0</v>
      </c>
      <c r="H106" s="83"/>
      <c r="I106" s="12"/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54">
        <f t="shared" si="13"/>
        <v>0</v>
      </c>
      <c r="U106" s="155"/>
      <c r="V106" s="243"/>
      <c r="W106" s="30"/>
      <c r="X106" s="30"/>
      <c r="Y106" s="30"/>
      <c r="Z106" s="30"/>
      <c r="AA106" s="30"/>
      <c r="AB106" s="30"/>
      <c r="AC106" s="31"/>
      <c r="AD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2:48" ht="12.75" hidden="1">
      <c r="B107"/>
      <c r="C107" s="187" t="s">
        <v>1307</v>
      </c>
      <c r="D107" s="191">
        <v>0</v>
      </c>
      <c r="E107" s="272"/>
      <c r="F107" s="272"/>
      <c r="G107" s="330">
        <v>0</v>
      </c>
      <c r="H107" s="83"/>
      <c r="I107" s="12"/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54">
        <f t="shared" si="13"/>
        <v>0</v>
      </c>
      <c r="U107" s="155"/>
      <c r="V107" s="243"/>
      <c r="W107" s="30"/>
      <c r="X107" s="30"/>
      <c r="Y107" s="30"/>
      <c r="Z107" s="30"/>
      <c r="AA107" s="30"/>
      <c r="AB107" s="30"/>
      <c r="AC107" s="31"/>
      <c r="AD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2:48" ht="12.75" hidden="1">
      <c r="B108" t="s">
        <v>1308</v>
      </c>
      <c r="C108" s="187" t="s">
        <v>1309</v>
      </c>
      <c r="D108" s="191">
        <v>0.001</v>
      </c>
      <c r="E108" s="272"/>
      <c r="F108" s="272"/>
      <c r="G108" s="330">
        <v>0</v>
      </c>
      <c r="H108" s="83"/>
      <c r="I108" s="12"/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0.001</v>
      </c>
      <c r="R108" s="12">
        <v>0</v>
      </c>
      <c r="S108" s="12">
        <v>0</v>
      </c>
      <c r="T108" s="154">
        <f t="shared" si="13"/>
        <v>0</v>
      </c>
      <c r="U108" s="155"/>
      <c r="V108" s="243"/>
      <c r="W108" s="30"/>
      <c r="X108" s="30"/>
      <c r="Y108" s="30"/>
      <c r="Z108" s="30"/>
      <c r="AA108" s="30"/>
      <c r="AB108" s="30"/>
      <c r="AC108" s="31"/>
      <c r="AD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2:48" ht="12.75" hidden="1">
      <c r="B109"/>
      <c r="C109" s="187"/>
      <c r="D109" s="191">
        <v>0</v>
      </c>
      <c r="E109" s="272"/>
      <c r="F109" s="272"/>
      <c r="G109" s="330">
        <v>0</v>
      </c>
      <c r="H109" s="83"/>
      <c r="I109" s="12"/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54">
        <f t="shared" si="13"/>
        <v>0</v>
      </c>
      <c r="U109" s="155"/>
      <c r="V109" s="243"/>
      <c r="W109" s="30"/>
      <c r="X109" s="30"/>
      <c r="Y109" s="30"/>
      <c r="Z109" s="30"/>
      <c r="AA109" s="30"/>
      <c r="AB109" s="30"/>
      <c r="AC109" s="31"/>
      <c r="AD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2:48" ht="12.75" hidden="1">
      <c r="B110" t="s">
        <v>1310</v>
      </c>
      <c r="C110" s="187" t="s">
        <v>1311</v>
      </c>
      <c r="D110" s="191">
        <v>0.002</v>
      </c>
      <c r="E110" s="272"/>
      <c r="F110" s="272"/>
      <c r="G110" s="330">
        <v>0</v>
      </c>
      <c r="H110" s="83"/>
      <c r="I110" s="12"/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0.002</v>
      </c>
      <c r="R110" s="12">
        <v>0</v>
      </c>
      <c r="S110" s="12">
        <v>0</v>
      </c>
      <c r="T110" s="154">
        <f t="shared" si="13"/>
        <v>0</v>
      </c>
      <c r="U110" s="155"/>
      <c r="V110" s="243"/>
      <c r="W110" s="30"/>
      <c r="X110" s="30"/>
      <c r="Y110" s="30"/>
      <c r="Z110" s="30"/>
      <c r="AA110" s="30"/>
      <c r="AB110" s="30"/>
      <c r="AC110" s="31"/>
      <c r="AD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2:48" ht="12.75" hidden="1">
      <c r="B111" t="s">
        <v>1312</v>
      </c>
      <c r="C111" s="187" t="s">
        <v>1313</v>
      </c>
      <c r="D111" s="191">
        <v>0.002</v>
      </c>
      <c r="E111" s="272"/>
      <c r="F111" s="272"/>
      <c r="G111" s="330">
        <v>0</v>
      </c>
      <c r="H111" s="83"/>
      <c r="I111" s="12"/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0.002</v>
      </c>
      <c r="R111" s="12">
        <v>0</v>
      </c>
      <c r="S111" s="12">
        <v>0</v>
      </c>
      <c r="T111" s="154">
        <f t="shared" si="13"/>
        <v>0</v>
      </c>
      <c r="U111" s="155"/>
      <c r="V111" s="243"/>
      <c r="W111" s="30"/>
      <c r="X111" s="30"/>
      <c r="Y111" s="30"/>
      <c r="Z111" s="30"/>
      <c r="AA111" s="30"/>
      <c r="AB111" s="30"/>
      <c r="AC111" s="31"/>
      <c r="AD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2:48" ht="12.75" hidden="1">
      <c r="B112" t="s">
        <v>1314</v>
      </c>
      <c r="C112" s="187" t="s">
        <v>1315</v>
      </c>
      <c r="D112" s="191">
        <v>0.303</v>
      </c>
      <c r="E112" s="272"/>
      <c r="F112" s="272"/>
      <c r="G112" s="330">
        <v>0</v>
      </c>
      <c r="H112" s="83"/>
      <c r="I112" s="12"/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0.003</v>
      </c>
      <c r="R112" s="12">
        <v>0</v>
      </c>
      <c r="S112" s="12">
        <v>0</v>
      </c>
      <c r="T112" s="154">
        <f t="shared" si="13"/>
        <v>0</v>
      </c>
      <c r="U112" s="155"/>
      <c r="V112" s="243"/>
      <c r="W112" s="30"/>
      <c r="X112" s="30"/>
      <c r="Y112" s="30"/>
      <c r="Z112" s="30"/>
      <c r="AA112" s="30"/>
      <c r="AB112" s="30"/>
      <c r="AC112" s="31"/>
      <c r="AD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2:48" ht="12.75" hidden="1">
      <c r="B113" t="s">
        <v>1316</v>
      </c>
      <c r="C113" s="187" t="s">
        <v>1317</v>
      </c>
      <c r="D113" s="191">
        <v>0.002</v>
      </c>
      <c r="E113" s="272"/>
      <c r="F113" s="272"/>
      <c r="G113" s="330">
        <v>0</v>
      </c>
      <c r="H113" s="83"/>
      <c r="I113" s="12"/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0.002</v>
      </c>
      <c r="R113" s="12">
        <v>0</v>
      </c>
      <c r="S113" s="12">
        <v>0</v>
      </c>
      <c r="T113" s="154">
        <f t="shared" si="13"/>
        <v>0</v>
      </c>
      <c r="U113" s="155"/>
      <c r="V113" s="243"/>
      <c r="W113" s="30"/>
      <c r="X113" s="30"/>
      <c r="Y113" s="30"/>
      <c r="Z113" s="30"/>
      <c r="AA113" s="30"/>
      <c r="AB113" s="30"/>
      <c r="AC113" s="31"/>
      <c r="AD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2:48" ht="12.75" hidden="1">
      <c r="B114"/>
      <c r="C114" s="187"/>
      <c r="D114" s="191">
        <v>0</v>
      </c>
      <c r="E114" s="272"/>
      <c r="F114" s="272"/>
      <c r="G114" s="330">
        <v>0</v>
      </c>
      <c r="H114" s="83"/>
      <c r="I114" s="12"/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54">
        <f t="shared" si="13"/>
        <v>0</v>
      </c>
      <c r="U114" s="155"/>
      <c r="V114" s="243"/>
      <c r="W114" s="30"/>
      <c r="X114" s="30"/>
      <c r="Y114" s="30"/>
      <c r="Z114" s="30"/>
      <c r="AA114" s="30"/>
      <c r="AB114" s="30"/>
      <c r="AC114" s="31"/>
      <c r="AD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2:48" ht="12.75" hidden="1">
      <c r="B115" t="s">
        <v>1318</v>
      </c>
      <c r="C115" s="187" t="s">
        <v>1319</v>
      </c>
      <c r="D115" s="191">
        <v>0.311</v>
      </c>
      <c r="E115" s="272"/>
      <c r="F115" s="272"/>
      <c r="G115" s="330">
        <v>0.117</v>
      </c>
      <c r="H115" s="83"/>
      <c r="I115" s="12"/>
      <c r="J115" s="12">
        <v>0.018</v>
      </c>
      <c r="K115" s="12">
        <v>0.265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0.028</v>
      </c>
      <c r="T115" s="154">
        <f t="shared" si="13"/>
        <v>0.28300000000000003</v>
      </c>
      <c r="U115" s="155"/>
      <c r="V115" s="243"/>
      <c r="W115" s="30"/>
      <c r="X115" s="30"/>
      <c r="Y115" s="30"/>
      <c r="Z115" s="30"/>
      <c r="AA115" s="30"/>
      <c r="AB115" s="30"/>
      <c r="AC115" s="31"/>
      <c r="AD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2:48" ht="12.75" hidden="1">
      <c r="B116" t="s">
        <v>1320</v>
      </c>
      <c r="C116" s="187" t="s">
        <v>1321</v>
      </c>
      <c r="D116" s="191">
        <v>0.189</v>
      </c>
      <c r="E116" s="272"/>
      <c r="F116" s="272"/>
      <c r="G116" s="330">
        <v>0.189</v>
      </c>
      <c r="H116" s="83"/>
      <c r="I116" s="12"/>
      <c r="J116" s="12">
        <v>0.032</v>
      </c>
      <c r="K116" s="12">
        <v>0.14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0.017</v>
      </c>
      <c r="T116" s="154">
        <f t="shared" si="13"/>
        <v>0.17200000000000001</v>
      </c>
      <c r="U116" s="155"/>
      <c r="V116" s="243"/>
      <c r="W116" s="30"/>
      <c r="X116" s="30"/>
      <c r="Y116" s="30"/>
      <c r="Z116" s="30"/>
      <c r="AA116" s="30"/>
      <c r="AB116" s="30"/>
      <c r="AC116" s="31"/>
      <c r="AD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  <row r="117" spans="2:48" ht="12.75" hidden="1">
      <c r="B117" t="s">
        <v>1322</v>
      </c>
      <c r="C117" s="187" t="s">
        <v>1323</v>
      </c>
      <c r="D117" s="191">
        <v>0.419</v>
      </c>
      <c r="E117" s="272"/>
      <c r="F117" s="272"/>
      <c r="G117" s="330">
        <v>0.144</v>
      </c>
      <c r="H117" s="83"/>
      <c r="I117" s="12"/>
      <c r="J117" s="12">
        <v>0.042</v>
      </c>
      <c r="K117" s="12">
        <v>0.098</v>
      </c>
      <c r="L117" s="12">
        <v>0.121</v>
      </c>
      <c r="M117" s="12">
        <v>0.12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0.038</v>
      </c>
      <c r="T117" s="154">
        <f t="shared" si="13"/>
        <v>0.261</v>
      </c>
      <c r="U117" s="155"/>
      <c r="V117" s="243"/>
      <c r="W117" s="30"/>
      <c r="X117" s="30"/>
      <c r="Y117" s="30"/>
      <c r="Z117" s="30"/>
      <c r="AA117" s="30"/>
      <c r="AB117" s="30"/>
      <c r="AC117" s="31"/>
      <c r="AD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2:48" ht="12.75" hidden="1">
      <c r="B118"/>
      <c r="C118" s="187"/>
      <c r="D118" s="191">
        <v>0</v>
      </c>
      <c r="E118" s="272"/>
      <c r="F118" s="272"/>
      <c r="G118" s="330">
        <v>0</v>
      </c>
      <c r="H118" s="83"/>
      <c r="I118" s="12"/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54">
        <f t="shared" si="13"/>
        <v>0</v>
      </c>
      <c r="U118" s="155"/>
      <c r="V118" s="243"/>
      <c r="W118" s="30"/>
      <c r="X118" s="30"/>
      <c r="Y118" s="30"/>
      <c r="Z118" s="30"/>
      <c r="AA118" s="30"/>
      <c r="AB118" s="30"/>
      <c r="AC118" s="31"/>
      <c r="AD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2:48" ht="12.75" hidden="1">
      <c r="B119" t="s">
        <v>1324</v>
      </c>
      <c r="C119" s="187" t="s">
        <v>1325</v>
      </c>
      <c r="D119" s="191">
        <v>0.176</v>
      </c>
      <c r="E119" s="272"/>
      <c r="F119" s="272"/>
      <c r="G119" s="330">
        <v>0.11</v>
      </c>
      <c r="H119" s="83"/>
      <c r="I119" s="12"/>
      <c r="J119" s="12">
        <v>0.11</v>
      </c>
      <c r="K119" s="12">
        <v>0</v>
      </c>
      <c r="L119" s="12">
        <v>0.05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0.016</v>
      </c>
      <c r="T119" s="154">
        <f t="shared" si="13"/>
        <v>0.16</v>
      </c>
      <c r="U119" s="155"/>
      <c r="V119" s="243"/>
      <c r="W119" s="30"/>
      <c r="X119" s="30"/>
      <c r="Y119" s="30"/>
      <c r="Z119" s="30"/>
      <c r="AA119" s="30"/>
      <c r="AB119" s="30"/>
      <c r="AC119" s="31"/>
      <c r="AD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2:48" ht="12.75" hidden="1">
      <c r="B120" t="s">
        <v>1326</v>
      </c>
      <c r="C120" s="187" t="s">
        <v>1327</v>
      </c>
      <c r="D120" s="191">
        <v>0.069</v>
      </c>
      <c r="E120" s="272"/>
      <c r="F120" s="272"/>
      <c r="G120" s="330">
        <v>0.038</v>
      </c>
      <c r="H120" s="83"/>
      <c r="I120" s="12"/>
      <c r="J120" s="12">
        <v>0.038</v>
      </c>
      <c r="K120" s="12">
        <v>0</v>
      </c>
      <c r="L120" s="12">
        <v>0.024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0.006</v>
      </c>
      <c r="T120" s="154">
        <f t="shared" si="13"/>
        <v>0.062</v>
      </c>
      <c r="U120" s="155"/>
      <c r="V120" s="243"/>
      <c r="W120" s="30"/>
      <c r="X120" s="30"/>
      <c r="Y120" s="30"/>
      <c r="Z120" s="30"/>
      <c r="AA120" s="30"/>
      <c r="AB120" s="30"/>
      <c r="AC120" s="31"/>
      <c r="AD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  <row r="121" spans="2:48" ht="12.75" hidden="1">
      <c r="B121" t="s">
        <v>1328</v>
      </c>
      <c r="C121" s="187" t="s">
        <v>1329</v>
      </c>
      <c r="D121" s="191">
        <v>0</v>
      </c>
      <c r="E121" s="272"/>
      <c r="F121" s="272"/>
      <c r="G121" s="330">
        <v>0</v>
      </c>
      <c r="H121" s="83"/>
      <c r="I121" s="12"/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54">
        <f t="shared" si="13"/>
        <v>0</v>
      </c>
      <c r="U121" s="155"/>
      <c r="V121" s="243"/>
      <c r="W121" s="30"/>
      <c r="X121" s="30"/>
      <c r="Y121" s="30"/>
      <c r="Z121" s="30"/>
      <c r="AA121" s="30"/>
      <c r="AB121" s="30"/>
      <c r="AC121" s="31"/>
      <c r="AD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</row>
    <row r="122" spans="2:48" ht="12.75" hidden="1">
      <c r="B122"/>
      <c r="C122" s="187"/>
      <c r="D122" s="191">
        <v>0</v>
      </c>
      <c r="E122" s="272"/>
      <c r="F122" s="272"/>
      <c r="G122" s="330">
        <v>0</v>
      </c>
      <c r="H122" s="83"/>
      <c r="I122" s="12"/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54">
        <f t="shared" si="13"/>
        <v>0</v>
      </c>
      <c r="U122" s="155"/>
      <c r="V122" s="243"/>
      <c r="W122" s="30"/>
      <c r="X122" s="30"/>
      <c r="Y122" s="30"/>
      <c r="Z122" s="30"/>
      <c r="AA122" s="30"/>
      <c r="AB122" s="30"/>
      <c r="AC122" s="31"/>
      <c r="AD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</row>
    <row r="123" spans="2:48" ht="12.75" hidden="1">
      <c r="B123" t="s">
        <v>1330</v>
      </c>
      <c r="C123" s="187" t="s">
        <v>1331</v>
      </c>
      <c r="D123" s="191">
        <v>0.374</v>
      </c>
      <c r="E123" s="272"/>
      <c r="F123" s="272"/>
      <c r="G123" s="330">
        <v>0.297</v>
      </c>
      <c r="H123" s="83"/>
      <c r="I123" s="12"/>
      <c r="J123" s="12">
        <v>0</v>
      </c>
      <c r="K123" s="12">
        <v>0.297</v>
      </c>
      <c r="L123" s="12">
        <v>0.043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0.034</v>
      </c>
      <c r="T123" s="154">
        <f t="shared" si="13"/>
        <v>0.33999999999999997</v>
      </c>
      <c r="U123" s="155"/>
      <c r="V123" s="243"/>
      <c r="W123" s="30"/>
      <c r="X123" s="30"/>
      <c r="Y123" s="30"/>
      <c r="Z123" s="30"/>
      <c r="AA123" s="30"/>
      <c r="AB123" s="30"/>
      <c r="AC123" s="31"/>
      <c r="AD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2:48" ht="12.75" hidden="1">
      <c r="B124"/>
      <c r="C124" s="187"/>
      <c r="D124" s="191">
        <v>0</v>
      </c>
      <c r="E124" s="272"/>
      <c r="F124" s="272"/>
      <c r="G124" s="330">
        <v>0</v>
      </c>
      <c r="H124" s="83"/>
      <c r="I124" s="12"/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54">
        <f t="shared" si="13"/>
        <v>0</v>
      </c>
      <c r="U124" s="155"/>
      <c r="V124" s="243"/>
      <c r="W124" s="30"/>
      <c r="X124" s="30"/>
      <c r="Y124" s="30"/>
      <c r="Z124" s="30"/>
      <c r="AA124" s="30"/>
      <c r="AB124" s="30"/>
      <c r="AC124" s="31"/>
      <c r="AD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2:48" ht="12.75" hidden="1">
      <c r="B125" t="s">
        <v>1332</v>
      </c>
      <c r="C125" s="187" t="s">
        <v>1333</v>
      </c>
      <c r="D125" s="191">
        <v>0.338</v>
      </c>
      <c r="E125" s="272"/>
      <c r="F125" s="272"/>
      <c r="G125" s="330">
        <v>0.066</v>
      </c>
      <c r="H125" s="83"/>
      <c r="I125" s="12"/>
      <c r="J125" s="12">
        <v>0.067</v>
      </c>
      <c r="K125" s="12">
        <v>0.05</v>
      </c>
      <c r="L125" s="12">
        <v>0.05</v>
      </c>
      <c r="M125" s="12">
        <v>0.05</v>
      </c>
      <c r="N125" s="12">
        <v>0.05</v>
      </c>
      <c r="O125" s="12">
        <v>0.042</v>
      </c>
      <c r="P125" s="12">
        <v>0</v>
      </c>
      <c r="Q125" s="12">
        <v>0</v>
      </c>
      <c r="R125" s="12">
        <v>0</v>
      </c>
      <c r="S125" s="12">
        <v>0.031</v>
      </c>
      <c r="T125" s="154">
        <f t="shared" si="13"/>
        <v>0.167</v>
      </c>
      <c r="U125" s="155"/>
      <c r="V125" s="243"/>
      <c r="W125" s="30"/>
      <c r="X125" s="30"/>
      <c r="Y125" s="30"/>
      <c r="Z125" s="30"/>
      <c r="AA125" s="30"/>
      <c r="AB125" s="30"/>
      <c r="AC125" s="31"/>
      <c r="AD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</row>
    <row r="126" spans="1:48" ht="12.75">
      <c r="A126" s="27" t="s">
        <v>771</v>
      </c>
      <c r="B126" s="181" t="s">
        <v>858</v>
      </c>
      <c r="C126" s="187" t="s">
        <v>480</v>
      </c>
      <c r="D126" s="191">
        <f>SUM(D127:D150)</f>
        <v>0.049</v>
      </c>
      <c r="E126" s="272"/>
      <c r="F126" s="272"/>
      <c r="G126" s="330">
        <f>SUM(G127:G150)</f>
        <v>0.048</v>
      </c>
      <c r="H126" s="152">
        <f>SUM(H127:H150)</f>
        <v>0.036000000000000004</v>
      </c>
      <c r="I126" s="80">
        <f>SUM(I127:I150)</f>
        <v>0</v>
      </c>
      <c r="J126" s="80">
        <f aca="true" t="shared" si="14" ref="J126:T126">SUM(J127:J150)</f>
        <v>0.012</v>
      </c>
      <c r="K126" s="80">
        <f t="shared" si="14"/>
        <v>0</v>
      </c>
      <c r="L126" s="80">
        <f t="shared" si="14"/>
        <v>0</v>
      </c>
      <c r="M126" s="80">
        <f t="shared" si="14"/>
        <v>0</v>
      </c>
      <c r="N126" s="80">
        <f t="shared" si="14"/>
        <v>0</v>
      </c>
      <c r="O126" s="80">
        <f t="shared" si="14"/>
        <v>0</v>
      </c>
      <c r="P126" s="80">
        <f t="shared" si="14"/>
        <v>0</v>
      </c>
      <c r="Q126" s="80">
        <f t="shared" si="14"/>
        <v>0</v>
      </c>
      <c r="R126" s="80">
        <f t="shared" si="14"/>
        <v>0</v>
      </c>
      <c r="S126" s="80">
        <f t="shared" si="14"/>
        <v>0.004</v>
      </c>
      <c r="T126" s="191">
        <f t="shared" si="14"/>
        <v>0.048</v>
      </c>
      <c r="U126" s="152"/>
      <c r="V126" s="243"/>
      <c r="W126" s="30"/>
      <c r="X126" s="30"/>
      <c r="Y126" s="30"/>
      <c r="Z126" s="30"/>
      <c r="AA126" s="30"/>
      <c r="AB126" s="30"/>
      <c r="AC126" s="31"/>
      <c r="AD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</row>
    <row r="127" spans="2:48" ht="12.75" hidden="1">
      <c r="B127" t="s">
        <v>6</v>
      </c>
      <c r="C127" s="187" t="s">
        <v>7</v>
      </c>
      <c r="D127" s="191">
        <v>0.007</v>
      </c>
      <c r="E127" s="272"/>
      <c r="F127" s="272"/>
      <c r="G127" s="330">
        <v>0.007</v>
      </c>
      <c r="H127" s="83">
        <v>0.007</v>
      </c>
      <c r="I127" s="12"/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>
        <v>0.001</v>
      </c>
      <c r="T127" s="154">
        <f aca="true" t="shared" si="15" ref="T127:T150">SUM(H127:L127)</f>
        <v>0.007</v>
      </c>
      <c r="U127" s="155"/>
      <c r="V127" s="243"/>
      <c r="W127" s="30"/>
      <c r="X127" s="30"/>
      <c r="Y127" s="30"/>
      <c r="Z127" s="30"/>
      <c r="AA127" s="30"/>
      <c r="AB127" s="30"/>
      <c r="AC127" s="31"/>
      <c r="AD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</row>
    <row r="128" spans="2:48" ht="12.75" hidden="1">
      <c r="B128" t="s">
        <v>8</v>
      </c>
      <c r="C128" s="187" t="s">
        <v>9</v>
      </c>
      <c r="D128" s="191">
        <v>0.014</v>
      </c>
      <c r="E128" s="272"/>
      <c r="F128" s="272"/>
      <c r="G128" s="330">
        <v>0.014</v>
      </c>
      <c r="H128" s="83">
        <v>0.014</v>
      </c>
      <c r="I128" s="12"/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>
        <v>0.001</v>
      </c>
      <c r="T128" s="154">
        <f t="shared" si="15"/>
        <v>0.014</v>
      </c>
      <c r="U128" s="155"/>
      <c r="V128" s="243"/>
      <c r="W128" s="30"/>
      <c r="X128" s="30"/>
      <c r="Y128" s="30"/>
      <c r="Z128" s="30"/>
      <c r="AA128" s="30"/>
      <c r="AB128" s="30"/>
      <c r="AC128" s="31"/>
      <c r="AD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</row>
    <row r="129" spans="2:48" ht="12.75" hidden="1">
      <c r="B129" t="s">
        <v>10</v>
      </c>
      <c r="C129" s="187" t="s">
        <v>11</v>
      </c>
      <c r="D129" s="191">
        <v>0.014</v>
      </c>
      <c r="E129" s="272"/>
      <c r="F129" s="272"/>
      <c r="G129" s="330">
        <v>0.014</v>
      </c>
      <c r="H129" s="83">
        <v>0.014</v>
      </c>
      <c r="I129" s="12"/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>
        <v>0.001</v>
      </c>
      <c r="T129" s="154">
        <f t="shared" si="15"/>
        <v>0.014</v>
      </c>
      <c r="U129" s="155"/>
      <c r="V129" s="243"/>
      <c r="W129" s="30"/>
      <c r="X129" s="30"/>
      <c r="Y129" s="30"/>
      <c r="Z129" s="30"/>
      <c r="AA129" s="30"/>
      <c r="AB129" s="30"/>
      <c r="AC129" s="31"/>
      <c r="AD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</row>
    <row r="130" spans="2:48" ht="12.75" hidden="1">
      <c r="B130" t="s">
        <v>12</v>
      </c>
      <c r="C130" s="187" t="s">
        <v>13</v>
      </c>
      <c r="D130" s="191">
        <v>0</v>
      </c>
      <c r="E130" s="272"/>
      <c r="F130" s="272"/>
      <c r="G130" s="330">
        <v>0</v>
      </c>
      <c r="H130" s="83"/>
      <c r="I130" s="12"/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>
        <v>0</v>
      </c>
      <c r="T130" s="154">
        <f t="shared" si="15"/>
        <v>0</v>
      </c>
      <c r="U130" s="155"/>
      <c r="V130" s="243"/>
      <c r="W130" s="30"/>
      <c r="X130" s="30"/>
      <c r="Y130" s="30"/>
      <c r="Z130" s="30"/>
      <c r="AA130" s="30"/>
      <c r="AB130" s="30"/>
      <c r="AC130" s="31"/>
      <c r="AD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</row>
    <row r="131" spans="2:48" ht="12.75" hidden="1">
      <c r="B131" t="s">
        <v>14</v>
      </c>
      <c r="C131" s="187" t="s">
        <v>16</v>
      </c>
      <c r="D131" s="191">
        <v>0</v>
      </c>
      <c r="E131" s="272"/>
      <c r="F131" s="272"/>
      <c r="G131" s="330">
        <v>0</v>
      </c>
      <c r="H131" s="83"/>
      <c r="I131" s="12"/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>
        <v>0</v>
      </c>
      <c r="T131" s="154">
        <f t="shared" si="15"/>
        <v>0</v>
      </c>
      <c r="U131" s="155"/>
      <c r="V131" s="243"/>
      <c r="W131" s="30"/>
      <c r="X131" s="30"/>
      <c r="Y131" s="30"/>
      <c r="Z131" s="30"/>
      <c r="AA131" s="30"/>
      <c r="AB131" s="30"/>
      <c r="AC131" s="31"/>
      <c r="AD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</row>
    <row r="132" spans="2:48" ht="12.75" hidden="1">
      <c r="B132" t="s">
        <v>17</v>
      </c>
      <c r="C132" s="187" t="s">
        <v>18</v>
      </c>
      <c r="D132" s="191">
        <v>0</v>
      </c>
      <c r="E132" s="272"/>
      <c r="F132" s="272"/>
      <c r="G132" s="330">
        <v>0</v>
      </c>
      <c r="H132" s="83"/>
      <c r="I132" s="12"/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>
        <v>0</v>
      </c>
      <c r="T132" s="154">
        <f t="shared" si="15"/>
        <v>0</v>
      </c>
      <c r="U132" s="155"/>
      <c r="V132" s="243"/>
      <c r="W132" s="30"/>
      <c r="X132" s="30"/>
      <c r="Y132" s="30"/>
      <c r="Z132" s="30"/>
      <c r="AA132" s="30"/>
      <c r="AB132" s="30"/>
      <c r="AC132" s="31"/>
      <c r="AD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2:48" ht="12.75" hidden="1">
      <c r="B133" t="s">
        <v>19</v>
      </c>
      <c r="C133" s="187" t="s">
        <v>20</v>
      </c>
      <c r="D133" s="191">
        <v>0</v>
      </c>
      <c r="E133" s="272"/>
      <c r="F133" s="272"/>
      <c r="G133" s="330">
        <v>0</v>
      </c>
      <c r="H133" s="83"/>
      <c r="I133" s="12"/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>
        <v>0</v>
      </c>
      <c r="T133" s="154">
        <f t="shared" si="15"/>
        <v>0</v>
      </c>
      <c r="U133" s="155"/>
      <c r="V133" s="243"/>
      <c r="W133" s="30"/>
      <c r="X133" s="30"/>
      <c r="Y133" s="30"/>
      <c r="Z133" s="30"/>
      <c r="AA133" s="30"/>
      <c r="AB133" s="30"/>
      <c r="AC133" s="31"/>
      <c r="AD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2:48" ht="12.75" hidden="1">
      <c r="B134" t="s">
        <v>21</v>
      </c>
      <c r="C134" s="187" t="s">
        <v>22</v>
      </c>
      <c r="D134" s="191">
        <v>0</v>
      </c>
      <c r="E134" s="272"/>
      <c r="F134" s="272"/>
      <c r="G134" s="330">
        <v>0</v>
      </c>
      <c r="H134" s="83"/>
      <c r="I134" s="12"/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>
        <v>0</v>
      </c>
      <c r="T134" s="154">
        <f t="shared" si="15"/>
        <v>0</v>
      </c>
      <c r="U134" s="155"/>
      <c r="V134" s="243"/>
      <c r="W134" s="30"/>
      <c r="X134" s="30"/>
      <c r="Y134" s="30"/>
      <c r="Z134" s="30"/>
      <c r="AA134" s="30"/>
      <c r="AB134" s="30"/>
      <c r="AC134" s="31"/>
      <c r="AD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2:48" ht="12.75" hidden="1">
      <c r="B135" t="s">
        <v>23</v>
      </c>
      <c r="C135" s="187" t="s">
        <v>24</v>
      </c>
      <c r="D135" s="191">
        <v>0</v>
      </c>
      <c r="E135" s="272"/>
      <c r="F135" s="272"/>
      <c r="G135" s="330">
        <v>0</v>
      </c>
      <c r="H135" s="83"/>
      <c r="I135" s="12"/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>
        <v>0</v>
      </c>
      <c r="T135" s="154">
        <f t="shared" si="15"/>
        <v>0</v>
      </c>
      <c r="U135" s="155"/>
      <c r="V135" s="243"/>
      <c r="W135" s="30"/>
      <c r="X135" s="30"/>
      <c r="Y135" s="30"/>
      <c r="Z135" s="30"/>
      <c r="AA135" s="30"/>
      <c r="AB135" s="30"/>
      <c r="AC135" s="31"/>
      <c r="AD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2:48" ht="12.75" hidden="1">
      <c r="B136" t="s">
        <v>25</v>
      </c>
      <c r="C136" s="187" t="s">
        <v>26</v>
      </c>
      <c r="D136" s="191">
        <v>0</v>
      </c>
      <c r="E136" s="272"/>
      <c r="F136" s="272"/>
      <c r="G136" s="330">
        <v>0</v>
      </c>
      <c r="H136" s="83"/>
      <c r="I136" s="12"/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>
        <v>0</v>
      </c>
      <c r="T136" s="154">
        <f t="shared" si="15"/>
        <v>0</v>
      </c>
      <c r="U136" s="155"/>
      <c r="V136" s="243"/>
      <c r="W136" s="30"/>
      <c r="X136" s="30"/>
      <c r="Y136" s="30"/>
      <c r="Z136" s="30"/>
      <c r="AA136" s="30"/>
      <c r="AB136" s="30"/>
      <c r="AC136" s="31"/>
      <c r="AD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2:48" ht="12.75" hidden="1">
      <c r="B137" t="s">
        <v>27</v>
      </c>
      <c r="C137" s="187" t="s">
        <v>28</v>
      </c>
      <c r="D137" s="191">
        <v>0</v>
      </c>
      <c r="E137" s="272"/>
      <c r="F137" s="272"/>
      <c r="G137" s="330">
        <v>0</v>
      </c>
      <c r="H137" s="83"/>
      <c r="I137" s="12"/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>
        <v>0</v>
      </c>
      <c r="T137" s="154">
        <f t="shared" si="15"/>
        <v>0</v>
      </c>
      <c r="U137" s="155"/>
      <c r="V137" s="243"/>
      <c r="W137" s="30"/>
      <c r="X137" s="30"/>
      <c r="Y137" s="30"/>
      <c r="Z137" s="30"/>
      <c r="AA137" s="30"/>
      <c r="AB137" s="30"/>
      <c r="AC137" s="31"/>
      <c r="AD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2:48" ht="12.75" hidden="1">
      <c r="B138" t="s">
        <v>29</v>
      </c>
      <c r="C138" s="187" t="s">
        <v>30</v>
      </c>
      <c r="D138" s="191">
        <v>0</v>
      </c>
      <c r="E138" s="272"/>
      <c r="F138" s="272"/>
      <c r="G138" s="330">
        <v>0</v>
      </c>
      <c r="H138" s="83"/>
      <c r="I138" s="12"/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>
        <v>0</v>
      </c>
      <c r="T138" s="154">
        <f t="shared" si="15"/>
        <v>0</v>
      </c>
      <c r="U138" s="155"/>
      <c r="V138" s="243"/>
      <c r="W138" s="30"/>
      <c r="X138" s="30"/>
      <c r="Y138" s="30"/>
      <c r="Z138" s="30"/>
      <c r="AA138" s="30"/>
      <c r="AB138" s="30"/>
      <c r="AC138" s="31"/>
      <c r="AD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2:48" ht="12.75" hidden="1">
      <c r="B139" t="s">
        <v>31</v>
      </c>
      <c r="C139" s="187" t="s">
        <v>32</v>
      </c>
      <c r="D139" s="191">
        <v>0</v>
      </c>
      <c r="E139" s="272"/>
      <c r="F139" s="272"/>
      <c r="G139" s="330">
        <v>0</v>
      </c>
      <c r="H139" s="83"/>
      <c r="I139" s="12"/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>
        <v>0</v>
      </c>
      <c r="T139" s="154">
        <f t="shared" si="15"/>
        <v>0</v>
      </c>
      <c r="U139" s="155"/>
      <c r="V139" s="243"/>
      <c r="W139" s="30"/>
      <c r="X139" s="30"/>
      <c r="Y139" s="30"/>
      <c r="Z139" s="30"/>
      <c r="AA139" s="30"/>
      <c r="AB139" s="30"/>
      <c r="AC139" s="31"/>
      <c r="AD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2:48" ht="12.75" hidden="1">
      <c r="B140" t="s">
        <v>33</v>
      </c>
      <c r="C140" s="187" t="s">
        <v>34</v>
      </c>
      <c r="D140" s="191">
        <v>0</v>
      </c>
      <c r="E140" s="272"/>
      <c r="F140" s="272"/>
      <c r="G140" s="330">
        <v>0</v>
      </c>
      <c r="H140" s="83"/>
      <c r="I140" s="12"/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>
        <v>0</v>
      </c>
      <c r="T140" s="154">
        <f t="shared" si="15"/>
        <v>0</v>
      </c>
      <c r="U140" s="155"/>
      <c r="V140" s="243"/>
      <c r="W140" s="30"/>
      <c r="X140" s="30"/>
      <c r="Y140" s="30"/>
      <c r="Z140" s="30"/>
      <c r="AA140" s="30"/>
      <c r="AB140" s="30"/>
      <c r="AC140" s="31"/>
      <c r="AD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2:48" ht="12.75" hidden="1">
      <c r="B141" t="s">
        <v>35</v>
      </c>
      <c r="C141" s="187" t="s">
        <v>36</v>
      </c>
      <c r="D141" s="191">
        <v>0</v>
      </c>
      <c r="E141" s="272"/>
      <c r="F141" s="272"/>
      <c r="G141" s="330">
        <v>0</v>
      </c>
      <c r="H141" s="83"/>
      <c r="I141" s="12"/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>
        <v>0</v>
      </c>
      <c r="T141" s="154">
        <f t="shared" si="15"/>
        <v>0</v>
      </c>
      <c r="U141" s="155"/>
      <c r="V141" s="243"/>
      <c r="W141" s="30"/>
      <c r="X141" s="30"/>
      <c r="Y141" s="30"/>
      <c r="Z141" s="30"/>
      <c r="AA141" s="30"/>
      <c r="AB141" s="30"/>
      <c r="AC141" s="31"/>
      <c r="AD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</row>
    <row r="142" spans="2:48" ht="12.75" hidden="1">
      <c r="B142" t="s">
        <v>37</v>
      </c>
      <c r="C142" s="187" t="s">
        <v>38</v>
      </c>
      <c r="D142" s="191">
        <v>0</v>
      </c>
      <c r="E142" s="272"/>
      <c r="F142" s="272"/>
      <c r="G142" s="330">
        <v>0</v>
      </c>
      <c r="H142" s="83"/>
      <c r="I142" s="12"/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>
        <v>0</v>
      </c>
      <c r="T142" s="154">
        <f t="shared" si="15"/>
        <v>0</v>
      </c>
      <c r="U142" s="155"/>
      <c r="V142" s="243"/>
      <c r="W142" s="30"/>
      <c r="X142" s="30"/>
      <c r="Y142" s="30"/>
      <c r="Z142" s="30"/>
      <c r="AA142" s="30"/>
      <c r="AB142" s="30"/>
      <c r="AC142" s="31"/>
      <c r="AD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2:48" ht="12.75" hidden="1">
      <c r="B143" t="s">
        <v>39</v>
      </c>
      <c r="C143" s="187" t="s">
        <v>40</v>
      </c>
      <c r="D143" s="191">
        <v>0</v>
      </c>
      <c r="E143" s="272"/>
      <c r="F143" s="272"/>
      <c r="G143" s="330">
        <v>0</v>
      </c>
      <c r="H143" s="83"/>
      <c r="I143" s="12"/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>
        <v>0</v>
      </c>
      <c r="T143" s="154">
        <f t="shared" si="15"/>
        <v>0</v>
      </c>
      <c r="U143" s="155"/>
      <c r="V143" s="243"/>
      <c r="W143" s="30"/>
      <c r="X143" s="30"/>
      <c r="Y143" s="30"/>
      <c r="Z143" s="30"/>
      <c r="AA143" s="30"/>
      <c r="AB143" s="30"/>
      <c r="AC143" s="31"/>
      <c r="AD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2:48" ht="12.75" hidden="1">
      <c r="B144" t="s">
        <v>41</v>
      </c>
      <c r="C144" s="187" t="s">
        <v>42</v>
      </c>
      <c r="D144" s="191">
        <v>0</v>
      </c>
      <c r="E144" s="272"/>
      <c r="F144" s="272"/>
      <c r="G144" s="330">
        <v>0</v>
      </c>
      <c r="H144" s="83"/>
      <c r="I144" s="12"/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>
        <v>0</v>
      </c>
      <c r="T144" s="154">
        <f t="shared" si="15"/>
        <v>0</v>
      </c>
      <c r="U144" s="155"/>
      <c r="V144" s="243"/>
      <c r="W144" s="30"/>
      <c r="X144" s="30"/>
      <c r="Y144" s="30"/>
      <c r="Z144" s="30"/>
      <c r="AA144" s="30"/>
      <c r="AB144" s="30"/>
      <c r="AC144" s="31"/>
      <c r="AD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2:48" ht="12.75" hidden="1">
      <c r="B145" t="s">
        <v>43</v>
      </c>
      <c r="C145" s="187" t="s">
        <v>44</v>
      </c>
      <c r="D145" s="191">
        <v>0</v>
      </c>
      <c r="E145" s="272"/>
      <c r="F145" s="272"/>
      <c r="G145" s="330">
        <v>0</v>
      </c>
      <c r="H145" s="83"/>
      <c r="I145" s="12"/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>
        <v>0</v>
      </c>
      <c r="T145" s="154">
        <f t="shared" si="15"/>
        <v>0</v>
      </c>
      <c r="U145" s="155"/>
      <c r="V145" s="243"/>
      <c r="W145" s="30"/>
      <c r="X145" s="30"/>
      <c r="Y145" s="30"/>
      <c r="Z145" s="30"/>
      <c r="AA145" s="30"/>
      <c r="AB145" s="30"/>
      <c r="AC145" s="31"/>
      <c r="AD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</row>
    <row r="146" spans="2:48" ht="12.75" hidden="1">
      <c r="B146" t="s">
        <v>45</v>
      </c>
      <c r="C146" s="187" t="s">
        <v>46</v>
      </c>
      <c r="D146" s="191">
        <v>0</v>
      </c>
      <c r="E146" s="272"/>
      <c r="F146" s="272"/>
      <c r="G146" s="330">
        <v>0</v>
      </c>
      <c r="H146" s="83"/>
      <c r="I146" s="12"/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>
        <v>0</v>
      </c>
      <c r="T146" s="154">
        <f t="shared" si="15"/>
        <v>0</v>
      </c>
      <c r="U146" s="155"/>
      <c r="V146" s="243"/>
      <c r="W146" s="30"/>
      <c r="X146" s="30"/>
      <c r="Y146" s="30"/>
      <c r="Z146" s="30"/>
      <c r="AA146" s="30"/>
      <c r="AB146" s="30"/>
      <c r="AC146" s="31"/>
      <c r="AD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</row>
    <row r="147" spans="2:48" ht="12.75" hidden="1">
      <c r="B147" t="s">
        <v>47</v>
      </c>
      <c r="C147" s="187" t="s">
        <v>48</v>
      </c>
      <c r="D147" s="191">
        <v>0</v>
      </c>
      <c r="E147" s="272"/>
      <c r="F147" s="272"/>
      <c r="G147" s="330">
        <v>0</v>
      </c>
      <c r="H147" s="83"/>
      <c r="I147" s="12"/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>
        <v>0</v>
      </c>
      <c r="T147" s="154">
        <f t="shared" si="15"/>
        <v>0</v>
      </c>
      <c r="U147" s="155"/>
      <c r="V147" s="243"/>
      <c r="W147" s="30"/>
      <c r="X147" s="30"/>
      <c r="Y147" s="30"/>
      <c r="Z147" s="30"/>
      <c r="AA147" s="30"/>
      <c r="AB147" s="30"/>
      <c r="AC147" s="31"/>
      <c r="AD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2:48" ht="12.75" hidden="1">
      <c r="B148" t="s">
        <v>49</v>
      </c>
      <c r="C148" s="187" t="s">
        <v>50</v>
      </c>
      <c r="D148" s="191">
        <v>0</v>
      </c>
      <c r="E148" s="272"/>
      <c r="F148" s="272"/>
      <c r="G148" s="330">
        <v>0</v>
      </c>
      <c r="H148" s="83"/>
      <c r="I148" s="12"/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>
        <v>0</v>
      </c>
      <c r="T148" s="154">
        <f t="shared" si="15"/>
        <v>0</v>
      </c>
      <c r="U148" s="155"/>
      <c r="V148" s="243"/>
      <c r="W148" s="30"/>
      <c r="X148" s="30"/>
      <c r="Y148" s="30"/>
      <c r="Z148" s="30"/>
      <c r="AA148" s="30"/>
      <c r="AB148" s="30"/>
      <c r="AC148" s="31"/>
      <c r="AD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2:48" ht="12.75" hidden="1">
      <c r="B149" t="s">
        <v>51</v>
      </c>
      <c r="C149" s="187" t="s">
        <v>52</v>
      </c>
      <c r="D149" s="191">
        <v>0</v>
      </c>
      <c r="E149" s="272"/>
      <c r="F149" s="272"/>
      <c r="G149" s="330">
        <v>0</v>
      </c>
      <c r="H149" s="83"/>
      <c r="I149" s="12"/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>
        <v>0</v>
      </c>
      <c r="T149" s="154">
        <f t="shared" si="15"/>
        <v>0</v>
      </c>
      <c r="U149" s="155"/>
      <c r="V149" s="243"/>
      <c r="W149" s="30"/>
      <c r="X149" s="30"/>
      <c r="Y149" s="30"/>
      <c r="Z149" s="30"/>
      <c r="AA149" s="30"/>
      <c r="AB149" s="30"/>
      <c r="AC149" s="31"/>
      <c r="AD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</row>
    <row r="150" spans="2:48" ht="12.75" hidden="1">
      <c r="B150" t="s">
        <v>53</v>
      </c>
      <c r="C150" s="187" t="s">
        <v>54</v>
      </c>
      <c r="D150" s="191">
        <v>0.014</v>
      </c>
      <c r="E150" s="272"/>
      <c r="F150" s="272"/>
      <c r="G150" s="330">
        <v>0.013</v>
      </c>
      <c r="H150" s="83">
        <v>0.001</v>
      </c>
      <c r="I150" s="12"/>
      <c r="J150" s="76">
        <v>0.012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>
        <v>0.001</v>
      </c>
      <c r="T150" s="154">
        <f t="shared" si="15"/>
        <v>0.013000000000000001</v>
      </c>
      <c r="U150" s="155"/>
      <c r="V150" s="243"/>
      <c r="W150" s="30"/>
      <c r="X150" s="30"/>
      <c r="Y150" s="30"/>
      <c r="Z150" s="30"/>
      <c r="AA150" s="30"/>
      <c r="AB150" s="30"/>
      <c r="AC150" s="31"/>
      <c r="AD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</row>
    <row r="151" spans="1:48" ht="12.75">
      <c r="A151" s="27" t="s">
        <v>772</v>
      </c>
      <c r="B151" s="181" t="s">
        <v>858</v>
      </c>
      <c r="C151" s="187" t="s">
        <v>481</v>
      </c>
      <c r="D151" s="191">
        <f>SUM(D152:D185)</f>
        <v>0.034</v>
      </c>
      <c r="E151" s="272"/>
      <c r="F151" s="272"/>
      <c r="G151" s="330">
        <f aca="true" t="shared" si="16" ref="G151:T151">SUM(G152:G185)</f>
        <v>0.01</v>
      </c>
      <c r="H151" s="80">
        <f t="shared" si="16"/>
        <v>0.009</v>
      </c>
      <c r="I151" s="80">
        <f t="shared" si="16"/>
        <v>0</v>
      </c>
      <c r="J151" s="80">
        <f t="shared" si="16"/>
        <v>0</v>
      </c>
      <c r="K151" s="80">
        <f t="shared" si="16"/>
        <v>0.001</v>
      </c>
      <c r="L151" s="80">
        <f t="shared" si="16"/>
        <v>0</v>
      </c>
      <c r="M151" s="80">
        <f t="shared" si="16"/>
        <v>0.014</v>
      </c>
      <c r="N151" s="80">
        <f t="shared" si="16"/>
        <v>0</v>
      </c>
      <c r="O151" s="80">
        <f t="shared" si="16"/>
        <v>0</v>
      </c>
      <c r="P151" s="80">
        <f t="shared" si="16"/>
        <v>0</v>
      </c>
      <c r="Q151" s="80">
        <f t="shared" si="16"/>
        <v>0</v>
      </c>
      <c r="R151" s="80">
        <f t="shared" si="16"/>
        <v>0</v>
      </c>
      <c r="S151" s="80">
        <f t="shared" si="16"/>
        <v>0.003</v>
      </c>
      <c r="T151" s="191">
        <f t="shared" si="16"/>
        <v>0.009999999999999998</v>
      </c>
      <c r="U151" s="152"/>
      <c r="V151" s="243"/>
      <c r="W151" s="30"/>
      <c r="X151" s="30"/>
      <c r="Y151" s="30"/>
      <c r="Z151" s="30"/>
      <c r="AA151" s="30"/>
      <c r="AB151" s="30"/>
      <c r="AC151" s="31"/>
      <c r="AD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2:48" ht="12.75" hidden="1">
      <c r="B152" s="255"/>
      <c r="C152" s="257" t="s">
        <v>55</v>
      </c>
      <c r="D152" s="248">
        <v>0</v>
      </c>
      <c r="E152" s="273"/>
      <c r="F152" s="274"/>
      <c r="G152" s="331">
        <v>0</v>
      </c>
      <c r="H152" s="8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54">
        <f aca="true" t="shared" si="17" ref="T152:T215">SUM(H152:L152)</f>
        <v>0</v>
      </c>
      <c r="U152" s="155"/>
      <c r="V152" s="243"/>
      <c r="W152" s="30"/>
      <c r="X152" s="30"/>
      <c r="Y152" s="30"/>
      <c r="Z152" s="30"/>
      <c r="AA152" s="30"/>
      <c r="AB152" s="30"/>
      <c r="AC152" s="31"/>
      <c r="AD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2:48" ht="12.75" hidden="1">
      <c r="B153" s="256"/>
      <c r="C153" s="258"/>
      <c r="D153" s="249">
        <v>0</v>
      </c>
      <c r="E153" s="274"/>
      <c r="F153" s="274"/>
      <c r="G153" s="332">
        <v>0</v>
      </c>
      <c r="H153" s="8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54">
        <f t="shared" si="17"/>
        <v>0</v>
      </c>
      <c r="U153" s="155"/>
      <c r="V153" s="243"/>
      <c r="W153" s="30"/>
      <c r="X153" s="30"/>
      <c r="Y153" s="30"/>
      <c r="Z153" s="30"/>
      <c r="AA153" s="30"/>
      <c r="AB153" s="30"/>
      <c r="AC153" s="31"/>
      <c r="AD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2:48" ht="12.75" hidden="1">
      <c r="B154" s="256" t="s">
        <v>56</v>
      </c>
      <c r="C154" s="258" t="s">
        <v>57</v>
      </c>
      <c r="D154" s="249">
        <v>0</v>
      </c>
      <c r="E154" s="274"/>
      <c r="F154" s="274"/>
      <c r="G154" s="332">
        <v>0</v>
      </c>
      <c r="H154" s="83"/>
      <c r="I154" s="12"/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>
        <v>0</v>
      </c>
      <c r="T154" s="154">
        <f t="shared" si="17"/>
        <v>0</v>
      </c>
      <c r="U154" s="155"/>
      <c r="V154" s="243"/>
      <c r="W154" s="30"/>
      <c r="X154" s="30"/>
      <c r="Y154" s="30"/>
      <c r="Z154" s="30"/>
      <c r="AA154" s="30"/>
      <c r="AB154" s="30"/>
      <c r="AC154" s="31"/>
      <c r="AD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2:48" ht="12.75" hidden="1">
      <c r="B155" s="256"/>
      <c r="C155" s="258"/>
      <c r="D155" s="249">
        <v>0</v>
      </c>
      <c r="E155" s="274"/>
      <c r="F155" s="274"/>
      <c r="G155" s="332">
        <v>0</v>
      </c>
      <c r="H155" s="83"/>
      <c r="I155" s="12"/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>
        <v>0</v>
      </c>
      <c r="T155" s="154">
        <f t="shared" si="17"/>
        <v>0</v>
      </c>
      <c r="U155" s="155"/>
      <c r="V155" s="243"/>
      <c r="W155" s="30"/>
      <c r="X155" s="30"/>
      <c r="Y155" s="30"/>
      <c r="Z155" s="30"/>
      <c r="AA155" s="30"/>
      <c r="AB155" s="30"/>
      <c r="AC155" s="31"/>
      <c r="AD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</row>
    <row r="156" spans="2:48" ht="12.75" hidden="1">
      <c r="B156" s="256" t="s">
        <v>58</v>
      </c>
      <c r="C156" s="258" t="s">
        <v>59</v>
      </c>
      <c r="D156" s="249">
        <v>0</v>
      </c>
      <c r="E156" s="274"/>
      <c r="F156" s="274"/>
      <c r="G156" s="332">
        <v>0</v>
      </c>
      <c r="H156" s="83"/>
      <c r="I156" s="12"/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>
        <v>0</v>
      </c>
      <c r="T156" s="154">
        <f t="shared" si="17"/>
        <v>0</v>
      </c>
      <c r="U156" s="155"/>
      <c r="V156" s="243"/>
      <c r="W156" s="30"/>
      <c r="X156" s="30"/>
      <c r="Y156" s="30"/>
      <c r="Z156" s="30"/>
      <c r="AA156" s="30"/>
      <c r="AB156" s="30"/>
      <c r="AC156" s="31"/>
      <c r="AD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2:48" ht="12.75" hidden="1">
      <c r="B157" s="256" t="s">
        <v>60</v>
      </c>
      <c r="C157" s="258"/>
      <c r="D157" s="249">
        <v>0</v>
      </c>
      <c r="E157" s="274"/>
      <c r="F157" s="274"/>
      <c r="G157" s="332">
        <v>0</v>
      </c>
      <c r="H157" s="83"/>
      <c r="I157" s="12"/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>
        <v>0</v>
      </c>
      <c r="T157" s="154">
        <f t="shared" si="17"/>
        <v>0</v>
      </c>
      <c r="U157" s="155"/>
      <c r="V157" s="243"/>
      <c r="W157" s="30"/>
      <c r="X157" s="30"/>
      <c r="Y157" s="30"/>
      <c r="Z157" s="30"/>
      <c r="AA157" s="30"/>
      <c r="AB157" s="30"/>
      <c r="AC157" s="31"/>
      <c r="AD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</row>
    <row r="158" spans="2:48" ht="12.75" hidden="1">
      <c r="B158" s="256" t="s">
        <v>61</v>
      </c>
      <c r="C158" s="259" t="s">
        <v>62</v>
      </c>
      <c r="D158" s="249">
        <v>0</v>
      </c>
      <c r="E158" s="274"/>
      <c r="F158" s="274"/>
      <c r="G158" s="332">
        <v>0</v>
      </c>
      <c r="H158" s="83"/>
      <c r="I158" s="12"/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>
        <v>0</v>
      </c>
      <c r="T158" s="154">
        <f t="shared" si="17"/>
        <v>0</v>
      </c>
      <c r="U158" s="155"/>
      <c r="V158" s="243"/>
      <c r="W158" s="30"/>
      <c r="X158" s="30"/>
      <c r="Y158" s="30"/>
      <c r="Z158" s="30"/>
      <c r="AA158" s="30"/>
      <c r="AB158" s="30"/>
      <c r="AC158" s="31"/>
      <c r="AD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2:48" ht="12.75" hidden="1">
      <c r="B159" s="256" t="s">
        <v>63</v>
      </c>
      <c r="C159" s="258" t="s">
        <v>64</v>
      </c>
      <c r="D159" s="249">
        <v>0</v>
      </c>
      <c r="E159" s="274"/>
      <c r="F159" s="274"/>
      <c r="G159" s="332">
        <v>0</v>
      </c>
      <c r="H159" s="83"/>
      <c r="I159" s="12"/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>
        <v>0</v>
      </c>
      <c r="T159" s="154">
        <f t="shared" si="17"/>
        <v>0</v>
      </c>
      <c r="U159" s="155"/>
      <c r="V159" s="243"/>
      <c r="W159" s="30"/>
      <c r="X159" s="30"/>
      <c r="Y159" s="30"/>
      <c r="Z159" s="30"/>
      <c r="AA159" s="30"/>
      <c r="AB159" s="30"/>
      <c r="AC159" s="31"/>
      <c r="AD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2:48" ht="12.75" hidden="1">
      <c r="B160" s="256" t="s">
        <v>65</v>
      </c>
      <c r="C160" s="258" t="s">
        <v>66</v>
      </c>
      <c r="D160" s="249">
        <v>0.01</v>
      </c>
      <c r="E160" s="274"/>
      <c r="F160" s="274"/>
      <c r="G160" s="332">
        <v>0</v>
      </c>
      <c r="H160" s="83">
        <v>0.009</v>
      </c>
      <c r="I160" s="12"/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>
        <v>0.001</v>
      </c>
      <c r="T160" s="154">
        <f t="shared" si="17"/>
        <v>0.009</v>
      </c>
      <c r="U160" s="155"/>
      <c r="V160" s="243"/>
      <c r="W160" s="30"/>
      <c r="X160" s="30"/>
      <c r="Y160" s="30"/>
      <c r="Z160" s="30"/>
      <c r="AA160" s="30"/>
      <c r="AB160" s="30"/>
      <c r="AC160" s="31"/>
      <c r="AD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</row>
    <row r="161" spans="2:48" ht="12.75" hidden="1">
      <c r="B161" s="256" t="s">
        <v>67</v>
      </c>
      <c r="C161" s="258" t="s">
        <v>68</v>
      </c>
      <c r="D161" s="249">
        <v>0.001</v>
      </c>
      <c r="E161" s="274"/>
      <c r="F161" s="274"/>
      <c r="G161" s="332">
        <v>0.001</v>
      </c>
      <c r="H161" s="83"/>
      <c r="I161" s="12"/>
      <c r="J161" s="76">
        <v>0</v>
      </c>
      <c r="K161" s="76">
        <v>0.001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>
        <v>0</v>
      </c>
      <c r="T161" s="154">
        <f t="shared" si="17"/>
        <v>0.001</v>
      </c>
      <c r="U161" s="155"/>
      <c r="V161" s="243"/>
      <c r="W161" s="30"/>
      <c r="X161" s="30"/>
      <c r="Y161" s="30"/>
      <c r="Z161" s="30"/>
      <c r="AA161" s="30"/>
      <c r="AB161" s="30"/>
      <c r="AC161" s="31"/>
      <c r="AD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</row>
    <row r="162" spans="2:48" ht="12.75" hidden="1">
      <c r="B162" s="256" t="s">
        <v>69</v>
      </c>
      <c r="C162" s="258" t="s">
        <v>70</v>
      </c>
      <c r="D162" s="249">
        <v>0</v>
      </c>
      <c r="E162" s="274"/>
      <c r="F162" s="274"/>
      <c r="G162" s="332">
        <v>0</v>
      </c>
      <c r="H162" s="83"/>
      <c r="I162" s="12"/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>
        <v>0</v>
      </c>
      <c r="T162" s="154">
        <f t="shared" si="17"/>
        <v>0</v>
      </c>
      <c r="U162" s="155"/>
      <c r="V162" s="243"/>
      <c r="W162" s="30"/>
      <c r="X162" s="30"/>
      <c r="Y162" s="30"/>
      <c r="Z162" s="30"/>
      <c r="AA162" s="30"/>
      <c r="AB162" s="30"/>
      <c r="AC162" s="31"/>
      <c r="AD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</row>
    <row r="163" spans="2:48" ht="12.75" hidden="1">
      <c r="B163" s="256" t="s">
        <v>71</v>
      </c>
      <c r="C163" s="258" t="s">
        <v>72</v>
      </c>
      <c r="D163" s="249">
        <v>0</v>
      </c>
      <c r="E163" s="274"/>
      <c r="F163" s="274"/>
      <c r="G163" s="332">
        <v>0</v>
      </c>
      <c r="H163" s="83"/>
      <c r="I163" s="12"/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>
        <v>0</v>
      </c>
      <c r="T163" s="154">
        <f t="shared" si="17"/>
        <v>0</v>
      </c>
      <c r="U163" s="155"/>
      <c r="V163" s="243"/>
      <c r="W163" s="30"/>
      <c r="X163" s="30"/>
      <c r="Y163" s="30"/>
      <c r="Z163" s="30"/>
      <c r="AA163" s="30"/>
      <c r="AB163" s="30"/>
      <c r="AC163" s="31"/>
      <c r="AD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</row>
    <row r="164" spans="2:48" ht="12.75" hidden="1">
      <c r="B164" s="256" t="s">
        <v>73</v>
      </c>
      <c r="C164" s="258" t="s">
        <v>74</v>
      </c>
      <c r="D164" s="249">
        <v>0</v>
      </c>
      <c r="E164" s="274"/>
      <c r="F164" s="274"/>
      <c r="G164" s="332">
        <v>0</v>
      </c>
      <c r="H164" s="83"/>
      <c r="I164" s="12"/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>
        <v>0</v>
      </c>
      <c r="T164" s="154">
        <f t="shared" si="17"/>
        <v>0</v>
      </c>
      <c r="U164" s="155"/>
      <c r="V164" s="243"/>
      <c r="W164" s="30"/>
      <c r="X164" s="30"/>
      <c r="Y164" s="30"/>
      <c r="Z164" s="30"/>
      <c r="AA164" s="30"/>
      <c r="AB164" s="30"/>
      <c r="AC164" s="31"/>
      <c r="AD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</row>
    <row r="165" spans="2:48" ht="12.75" hidden="1">
      <c r="B165" s="256" t="s">
        <v>75</v>
      </c>
      <c r="C165" s="258" t="s">
        <v>76</v>
      </c>
      <c r="D165" s="249">
        <v>0</v>
      </c>
      <c r="E165" s="274"/>
      <c r="F165" s="274"/>
      <c r="G165" s="332">
        <v>0</v>
      </c>
      <c r="H165" s="83"/>
      <c r="I165" s="12"/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>
        <v>0</v>
      </c>
      <c r="T165" s="154">
        <f t="shared" si="17"/>
        <v>0</v>
      </c>
      <c r="U165" s="155"/>
      <c r="V165" s="243"/>
      <c r="W165" s="30"/>
      <c r="X165" s="30"/>
      <c r="Y165" s="30"/>
      <c r="Z165" s="30"/>
      <c r="AA165" s="30"/>
      <c r="AB165" s="30"/>
      <c r="AC165" s="31"/>
      <c r="AD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</row>
    <row r="166" spans="2:48" ht="12.75" hidden="1">
      <c r="B166" s="256" t="s">
        <v>77</v>
      </c>
      <c r="C166" s="258" t="s">
        <v>78</v>
      </c>
      <c r="D166" s="249">
        <v>0</v>
      </c>
      <c r="E166" s="274"/>
      <c r="F166" s="274"/>
      <c r="G166" s="332">
        <v>0</v>
      </c>
      <c r="H166" s="83"/>
      <c r="I166" s="12"/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>
        <v>0</v>
      </c>
      <c r="T166" s="154">
        <f t="shared" si="17"/>
        <v>0</v>
      </c>
      <c r="U166" s="155"/>
      <c r="V166" s="243"/>
      <c r="W166" s="30"/>
      <c r="X166" s="30"/>
      <c r="Y166" s="30"/>
      <c r="Z166" s="30"/>
      <c r="AA166" s="30"/>
      <c r="AB166" s="30"/>
      <c r="AC166" s="31"/>
      <c r="AD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</row>
    <row r="167" spans="2:48" ht="12.75" hidden="1">
      <c r="B167" s="256"/>
      <c r="C167" s="258"/>
      <c r="D167" s="249">
        <v>0</v>
      </c>
      <c r="E167" s="274"/>
      <c r="F167" s="274"/>
      <c r="G167" s="332">
        <v>0</v>
      </c>
      <c r="H167" s="83"/>
      <c r="I167" s="12"/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>
        <v>0</v>
      </c>
      <c r="T167" s="154">
        <f t="shared" si="17"/>
        <v>0</v>
      </c>
      <c r="U167" s="155"/>
      <c r="V167" s="243"/>
      <c r="W167" s="30"/>
      <c r="X167" s="30"/>
      <c r="Y167" s="30"/>
      <c r="Z167" s="30"/>
      <c r="AA167" s="30"/>
      <c r="AB167" s="30"/>
      <c r="AC167" s="31"/>
      <c r="AD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</row>
    <row r="168" spans="2:48" ht="12.75" hidden="1">
      <c r="B168" s="256"/>
      <c r="C168" s="260" t="s">
        <v>79</v>
      </c>
      <c r="D168" s="249">
        <v>0</v>
      </c>
      <c r="E168" s="274"/>
      <c r="F168" s="274"/>
      <c r="G168" s="332">
        <v>0</v>
      </c>
      <c r="H168" s="83"/>
      <c r="I168" s="12"/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>
        <v>0</v>
      </c>
      <c r="T168" s="154">
        <f t="shared" si="17"/>
        <v>0</v>
      </c>
      <c r="U168" s="155"/>
      <c r="V168" s="243"/>
      <c r="W168" s="30"/>
      <c r="X168" s="30"/>
      <c r="Y168" s="30"/>
      <c r="Z168" s="30"/>
      <c r="AA168" s="30"/>
      <c r="AB168" s="30"/>
      <c r="AC168" s="31"/>
      <c r="AD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</row>
    <row r="169" spans="2:48" ht="12.75" hidden="1">
      <c r="B169" s="256" t="s">
        <v>80</v>
      </c>
      <c r="C169" s="261" t="s">
        <v>81</v>
      </c>
      <c r="D169" s="249">
        <v>0</v>
      </c>
      <c r="E169" s="274"/>
      <c r="F169" s="274"/>
      <c r="G169" s="332">
        <v>0</v>
      </c>
      <c r="H169" s="83"/>
      <c r="I169" s="12"/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>
        <v>0</v>
      </c>
      <c r="T169" s="154">
        <f t="shared" si="17"/>
        <v>0</v>
      </c>
      <c r="U169" s="155"/>
      <c r="V169" s="243"/>
      <c r="W169" s="30"/>
      <c r="X169" s="30"/>
      <c r="Y169" s="30"/>
      <c r="Z169" s="30"/>
      <c r="AA169" s="30"/>
      <c r="AB169" s="30"/>
      <c r="AC169" s="31"/>
      <c r="AD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</row>
    <row r="170" spans="2:48" ht="12.75" hidden="1">
      <c r="B170" s="256" t="s">
        <v>82</v>
      </c>
      <c r="C170" s="258" t="s">
        <v>83</v>
      </c>
      <c r="D170" s="249">
        <v>0</v>
      </c>
      <c r="E170" s="274"/>
      <c r="F170" s="274"/>
      <c r="G170" s="332">
        <v>0</v>
      </c>
      <c r="H170" s="83"/>
      <c r="I170" s="12"/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>
        <v>0</v>
      </c>
      <c r="T170" s="154">
        <f t="shared" si="17"/>
        <v>0</v>
      </c>
      <c r="U170" s="155"/>
      <c r="V170" s="243"/>
      <c r="W170" s="30"/>
      <c r="X170" s="30"/>
      <c r="Y170" s="30"/>
      <c r="Z170" s="30"/>
      <c r="AA170" s="30"/>
      <c r="AB170" s="30"/>
      <c r="AC170" s="31"/>
      <c r="AD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</row>
    <row r="171" spans="2:48" ht="12.75" hidden="1">
      <c r="B171" s="256" t="s">
        <v>84</v>
      </c>
      <c r="C171" s="258" t="s">
        <v>85</v>
      </c>
      <c r="D171" s="249">
        <v>0</v>
      </c>
      <c r="E171" s="274"/>
      <c r="F171" s="274"/>
      <c r="G171" s="332">
        <v>0</v>
      </c>
      <c r="H171" s="83"/>
      <c r="I171" s="12"/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>
        <v>0</v>
      </c>
      <c r="T171" s="154">
        <f t="shared" si="17"/>
        <v>0</v>
      </c>
      <c r="U171" s="155"/>
      <c r="V171" s="243"/>
      <c r="W171" s="30"/>
      <c r="X171" s="30"/>
      <c r="Y171" s="30"/>
      <c r="Z171" s="30"/>
      <c r="AA171" s="30"/>
      <c r="AB171" s="30"/>
      <c r="AC171" s="31"/>
      <c r="AD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</row>
    <row r="172" spans="2:48" ht="12.75" hidden="1">
      <c r="B172" s="256" t="s">
        <v>86</v>
      </c>
      <c r="C172" s="258" t="s">
        <v>87</v>
      </c>
      <c r="D172" s="249">
        <v>0</v>
      </c>
      <c r="E172" s="274"/>
      <c r="F172" s="274"/>
      <c r="G172" s="332">
        <v>0</v>
      </c>
      <c r="H172" s="83"/>
      <c r="I172" s="12"/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>
        <v>0</v>
      </c>
      <c r="T172" s="154">
        <f t="shared" si="17"/>
        <v>0</v>
      </c>
      <c r="U172" s="155"/>
      <c r="V172" s="243"/>
      <c r="W172" s="30"/>
      <c r="X172" s="30"/>
      <c r="Y172" s="30"/>
      <c r="Z172" s="30"/>
      <c r="AA172" s="30"/>
      <c r="AB172" s="30"/>
      <c r="AC172" s="31"/>
      <c r="AD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</row>
    <row r="173" spans="2:48" ht="12.75" hidden="1">
      <c r="B173" s="256" t="s">
        <v>88</v>
      </c>
      <c r="C173" s="261" t="s">
        <v>89</v>
      </c>
      <c r="D173" s="249">
        <v>0</v>
      </c>
      <c r="E173" s="274"/>
      <c r="F173" s="274"/>
      <c r="G173" s="332">
        <v>0</v>
      </c>
      <c r="H173" s="83"/>
      <c r="I173" s="12"/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>
        <v>0</v>
      </c>
      <c r="T173" s="154">
        <f t="shared" si="17"/>
        <v>0</v>
      </c>
      <c r="U173" s="155"/>
      <c r="V173" s="243"/>
      <c r="W173" s="30"/>
      <c r="X173" s="30"/>
      <c r="Y173" s="30"/>
      <c r="Z173" s="30"/>
      <c r="AA173" s="30"/>
      <c r="AB173" s="30"/>
      <c r="AC173" s="31"/>
      <c r="AD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</row>
    <row r="174" spans="2:48" ht="12.75" hidden="1">
      <c r="B174" s="256" t="s">
        <v>90</v>
      </c>
      <c r="C174" s="261" t="s">
        <v>91</v>
      </c>
      <c r="D174" s="249">
        <v>0</v>
      </c>
      <c r="E174" s="274"/>
      <c r="F174" s="274"/>
      <c r="G174" s="332">
        <v>0</v>
      </c>
      <c r="H174" s="83"/>
      <c r="I174" s="12"/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>
        <v>0</v>
      </c>
      <c r="T174" s="154">
        <f t="shared" si="17"/>
        <v>0</v>
      </c>
      <c r="U174" s="155"/>
      <c r="V174" s="243"/>
      <c r="W174" s="30"/>
      <c r="X174" s="30"/>
      <c r="Y174" s="30"/>
      <c r="Z174" s="30"/>
      <c r="AA174" s="30"/>
      <c r="AB174" s="30"/>
      <c r="AC174" s="31"/>
      <c r="AD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</row>
    <row r="175" spans="2:48" ht="12.75" hidden="1">
      <c r="B175" s="256" t="s">
        <v>92</v>
      </c>
      <c r="C175" s="261" t="s">
        <v>93</v>
      </c>
      <c r="D175" s="249">
        <v>0</v>
      </c>
      <c r="E175" s="274"/>
      <c r="F175" s="274"/>
      <c r="G175" s="332">
        <v>0</v>
      </c>
      <c r="H175" s="83"/>
      <c r="I175" s="12"/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  <c r="S175">
        <v>0</v>
      </c>
      <c r="T175" s="154">
        <f t="shared" si="17"/>
        <v>0</v>
      </c>
      <c r="U175" s="155"/>
      <c r="V175" s="243"/>
      <c r="W175" s="30"/>
      <c r="X175" s="30"/>
      <c r="Y175" s="30"/>
      <c r="Z175" s="30"/>
      <c r="AA175" s="30"/>
      <c r="AB175" s="30"/>
      <c r="AC175" s="31"/>
      <c r="AD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</row>
    <row r="176" spans="2:48" ht="12.75" hidden="1">
      <c r="B176" s="256"/>
      <c r="C176" s="261"/>
      <c r="D176" s="249">
        <v>0</v>
      </c>
      <c r="E176" s="274"/>
      <c r="F176" s="274"/>
      <c r="G176" s="332">
        <v>0</v>
      </c>
      <c r="H176" s="83"/>
      <c r="I176" s="12"/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>
        <v>0</v>
      </c>
      <c r="T176" s="154">
        <f t="shared" si="17"/>
        <v>0</v>
      </c>
      <c r="U176" s="155"/>
      <c r="V176" s="243"/>
      <c r="W176" s="30"/>
      <c r="X176" s="30"/>
      <c r="Y176" s="30"/>
      <c r="Z176" s="30"/>
      <c r="AA176" s="30"/>
      <c r="AB176" s="30"/>
      <c r="AC176" s="31"/>
      <c r="AD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</row>
    <row r="177" spans="2:48" ht="12.75" hidden="1">
      <c r="B177" s="256"/>
      <c r="C177" s="257" t="s">
        <v>94</v>
      </c>
      <c r="D177" s="249">
        <v>0</v>
      </c>
      <c r="E177" s="274"/>
      <c r="F177" s="274"/>
      <c r="G177" s="332">
        <v>0</v>
      </c>
      <c r="H177" s="83"/>
      <c r="I177" s="12"/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>
        <v>0</v>
      </c>
      <c r="T177" s="154">
        <f t="shared" si="17"/>
        <v>0</v>
      </c>
      <c r="U177" s="155"/>
      <c r="V177" s="243"/>
      <c r="W177" s="30"/>
      <c r="X177" s="30"/>
      <c r="Y177" s="30"/>
      <c r="Z177" s="30"/>
      <c r="AA177" s="30"/>
      <c r="AB177" s="30"/>
      <c r="AC177" s="31"/>
      <c r="AD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</row>
    <row r="178" spans="2:48" ht="12.75" hidden="1">
      <c r="B178" s="256" t="s">
        <v>95</v>
      </c>
      <c r="C178" s="258" t="s">
        <v>96</v>
      </c>
      <c r="D178" s="249">
        <v>0.006</v>
      </c>
      <c r="E178" s="274"/>
      <c r="F178" s="274"/>
      <c r="G178" s="332">
        <v>0</v>
      </c>
      <c r="H178" s="83"/>
      <c r="I178" s="12"/>
      <c r="J178" s="76">
        <v>0</v>
      </c>
      <c r="K178" s="76">
        <v>0</v>
      </c>
      <c r="L178" s="76">
        <v>0</v>
      </c>
      <c r="M178" s="76">
        <v>0.007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>
        <v>0.001</v>
      </c>
      <c r="T178" s="154">
        <f t="shared" si="17"/>
        <v>0</v>
      </c>
      <c r="U178" s="155"/>
      <c r="V178" s="243"/>
      <c r="W178" s="30"/>
      <c r="X178" s="30"/>
      <c r="Y178" s="30"/>
      <c r="Z178" s="30"/>
      <c r="AA178" s="30"/>
      <c r="AB178" s="30"/>
      <c r="AC178" s="31"/>
      <c r="AD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</row>
    <row r="179" spans="2:48" ht="12.75" hidden="1">
      <c r="B179" s="256" t="s">
        <v>97</v>
      </c>
      <c r="C179" s="261" t="s">
        <v>98</v>
      </c>
      <c r="D179" s="249">
        <v>0.001</v>
      </c>
      <c r="E179" s="274"/>
      <c r="F179" s="274"/>
      <c r="G179" s="332">
        <v>0.001</v>
      </c>
      <c r="H179" s="83"/>
      <c r="I179" s="12"/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>
        <v>0</v>
      </c>
      <c r="T179" s="154">
        <f t="shared" si="17"/>
        <v>0</v>
      </c>
      <c r="U179" s="155"/>
      <c r="V179" s="243"/>
      <c r="W179" s="30"/>
      <c r="X179" s="30"/>
      <c r="Y179" s="30"/>
      <c r="Z179" s="30"/>
      <c r="AA179" s="30"/>
      <c r="AB179" s="30"/>
      <c r="AC179" s="31"/>
      <c r="AD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</row>
    <row r="180" spans="2:48" ht="12.75" hidden="1">
      <c r="B180" s="256" t="s">
        <v>99</v>
      </c>
      <c r="C180" s="261" t="s">
        <v>100</v>
      </c>
      <c r="D180" s="249">
        <v>0.008</v>
      </c>
      <c r="E180" s="274"/>
      <c r="F180" s="274"/>
      <c r="G180" s="332">
        <v>0</v>
      </c>
      <c r="H180" s="83"/>
      <c r="I180" s="12"/>
      <c r="J180" s="76">
        <v>0</v>
      </c>
      <c r="K180" s="76">
        <v>0</v>
      </c>
      <c r="L180" s="76">
        <v>0</v>
      </c>
      <c r="M180" s="76">
        <v>0.007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>
        <v>0.001</v>
      </c>
      <c r="T180" s="154">
        <f t="shared" si="17"/>
        <v>0</v>
      </c>
      <c r="U180" s="155"/>
      <c r="V180" s="243"/>
      <c r="W180" s="30"/>
      <c r="X180" s="30"/>
      <c r="Y180" s="30"/>
      <c r="Z180" s="30"/>
      <c r="AA180" s="30"/>
      <c r="AB180" s="30"/>
      <c r="AC180" s="31"/>
      <c r="AD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2:48" ht="12.75" hidden="1">
      <c r="B181" s="256" t="s">
        <v>101</v>
      </c>
      <c r="C181" s="261" t="s">
        <v>102</v>
      </c>
      <c r="D181" s="249">
        <v>0</v>
      </c>
      <c r="E181" s="274"/>
      <c r="F181" s="274"/>
      <c r="G181" s="332">
        <v>0</v>
      </c>
      <c r="H181" s="83"/>
      <c r="I181" s="12"/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>
        <v>0</v>
      </c>
      <c r="T181" s="154">
        <f t="shared" si="17"/>
        <v>0</v>
      </c>
      <c r="U181" s="155"/>
      <c r="V181" s="243"/>
      <c r="W181" s="30"/>
      <c r="X181" s="30"/>
      <c r="Y181" s="30"/>
      <c r="Z181" s="30"/>
      <c r="AA181" s="30"/>
      <c r="AB181" s="30"/>
      <c r="AC181" s="31"/>
      <c r="AD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2:48" ht="12.75" hidden="1">
      <c r="B182" s="256"/>
      <c r="C182" s="261"/>
      <c r="D182" s="249">
        <v>0</v>
      </c>
      <c r="E182" s="274"/>
      <c r="F182" s="274"/>
      <c r="G182" s="332">
        <v>0</v>
      </c>
      <c r="H182" s="83"/>
      <c r="I182" s="12"/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>
        <v>0</v>
      </c>
      <c r="T182" s="154">
        <f t="shared" si="17"/>
        <v>0</v>
      </c>
      <c r="U182" s="155"/>
      <c r="V182" s="243"/>
      <c r="W182" s="30"/>
      <c r="X182" s="30"/>
      <c r="Y182" s="30"/>
      <c r="Z182" s="30"/>
      <c r="AA182" s="30"/>
      <c r="AB182" s="30"/>
      <c r="AC182" s="31"/>
      <c r="AD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2:48" ht="12.75" hidden="1">
      <c r="B183" s="256"/>
      <c r="C183" s="257" t="s">
        <v>103</v>
      </c>
      <c r="D183" s="249">
        <v>0</v>
      </c>
      <c r="E183" s="274"/>
      <c r="F183" s="274"/>
      <c r="G183" s="332">
        <v>0</v>
      </c>
      <c r="H183" s="83"/>
      <c r="I183" s="12"/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>
        <v>0</v>
      </c>
      <c r="T183" s="154">
        <f t="shared" si="17"/>
        <v>0</v>
      </c>
      <c r="U183" s="155"/>
      <c r="V183" s="243"/>
      <c r="W183" s="30"/>
      <c r="X183" s="30"/>
      <c r="Y183" s="30"/>
      <c r="Z183" s="30"/>
      <c r="AA183" s="30"/>
      <c r="AB183" s="30"/>
      <c r="AC183" s="31"/>
      <c r="AD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2:48" ht="12.75" hidden="1">
      <c r="B184" s="256" t="s">
        <v>104</v>
      </c>
      <c r="C184" s="258" t="s">
        <v>105</v>
      </c>
      <c r="D184" s="249">
        <v>0</v>
      </c>
      <c r="E184" s="274"/>
      <c r="F184" s="274"/>
      <c r="G184" s="332">
        <v>0</v>
      </c>
      <c r="H184" s="83"/>
      <c r="I184" s="12"/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>
        <v>0</v>
      </c>
      <c r="T184" s="154">
        <f t="shared" si="17"/>
        <v>0</v>
      </c>
      <c r="U184" s="155"/>
      <c r="V184" s="243"/>
      <c r="W184" s="30"/>
      <c r="X184" s="30"/>
      <c r="Y184" s="30"/>
      <c r="Z184" s="30"/>
      <c r="AA184" s="30"/>
      <c r="AB184" s="30"/>
      <c r="AC184" s="31"/>
      <c r="AD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2:48" ht="12.75" hidden="1">
      <c r="B185" s="256" t="s">
        <v>106</v>
      </c>
      <c r="C185" s="261" t="s">
        <v>107</v>
      </c>
      <c r="D185" s="249">
        <v>0.008</v>
      </c>
      <c r="E185" s="274"/>
      <c r="F185" s="274"/>
      <c r="G185" s="332">
        <v>0.008</v>
      </c>
      <c r="H185" s="83"/>
      <c r="I185" s="12"/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>
        <v>0</v>
      </c>
      <c r="T185" s="154">
        <f t="shared" si="17"/>
        <v>0</v>
      </c>
      <c r="U185" s="155"/>
      <c r="V185" s="243"/>
      <c r="W185" s="30"/>
      <c r="X185" s="30"/>
      <c r="Y185" s="30"/>
      <c r="Z185" s="30"/>
      <c r="AA185" s="30"/>
      <c r="AB185" s="30"/>
      <c r="AC185" s="31"/>
      <c r="AD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1:48" ht="12.75">
      <c r="A186" s="27" t="s">
        <v>773</v>
      </c>
      <c r="B186" s="181" t="s">
        <v>858</v>
      </c>
      <c r="C186" s="187" t="s">
        <v>1334</v>
      </c>
      <c r="D186" s="191">
        <f>SUM(D187:D220)</f>
        <v>2.9459999999999984</v>
      </c>
      <c r="E186" s="272"/>
      <c r="F186" s="272"/>
      <c r="G186" s="330">
        <f>SUM(G187:G220)</f>
        <v>0.59</v>
      </c>
      <c r="H186" s="80">
        <f>SUM(H187:H220)</f>
        <v>0.014</v>
      </c>
      <c r="I186" s="80">
        <f>SUM(I187:I220)</f>
        <v>0</v>
      </c>
      <c r="J186" s="80">
        <f aca="true" t="shared" si="18" ref="J186:S186">SUM(J187:J220)</f>
        <v>0.21300000000000002</v>
      </c>
      <c r="K186" s="80">
        <f t="shared" si="18"/>
        <v>0.23399999999999999</v>
      </c>
      <c r="L186" s="80">
        <f t="shared" si="18"/>
        <v>0.244</v>
      </c>
      <c r="M186" s="80">
        <f t="shared" si="18"/>
        <v>0.23199999999999998</v>
      </c>
      <c r="N186" s="80">
        <f t="shared" si="18"/>
        <v>0.23199999999999998</v>
      </c>
      <c r="O186" s="80">
        <f t="shared" si="18"/>
        <v>0.248</v>
      </c>
      <c r="P186" s="80">
        <f t="shared" si="18"/>
        <v>0.23299999999999998</v>
      </c>
      <c r="Q186" s="80">
        <f t="shared" si="18"/>
        <v>0.21999999999999997</v>
      </c>
      <c r="R186" s="80">
        <f t="shared" si="18"/>
        <v>0.245</v>
      </c>
      <c r="S186" s="80">
        <f t="shared" si="18"/>
        <v>1.1529999999999994</v>
      </c>
      <c r="T186" s="154">
        <f t="shared" si="17"/>
        <v>0.7050000000000001</v>
      </c>
      <c r="U186" s="155"/>
      <c r="V186" s="243"/>
      <c r="W186" s="30"/>
      <c r="X186" s="30"/>
      <c r="Y186" s="30"/>
      <c r="Z186" s="30"/>
      <c r="AA186" s="30"/>
      <c r="AB186" s="30"/>
      <c r="AC186" s="31"/>
      <c r="AD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2:48" ht="12.75" hidden="1">
      <c r="B187"/>
      <c r="C187" s="187"/>
      <c r="D187" s="191">
        <v>0</v>
      </c>
      <c r="E187" s="272"/>
      <c r="F187" s="272"/>
      <c r="G187" s="330">
        <v>0</v>
      </c>
      <c r="H187" s="83"/>
      <c r="I187" s="12"/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>
        <v>0</v>
      </c>
      <c r="T187" s="154">
        <f t="shared" si="17"/>
        <v>0</v>
      </c>
      <c r="U187" s="155"/>
      <c r="V187" s="243"/>
      <c r="W187" s="30"/>
      <c r="X187" s="30"/>
      <c r="Y187" s="30"/>
      <c r="Z187" s="30"/>
      <c r="AA187" s="30"/>
      <c r="AB187" s="30"/>
      <c r="AC187" s="31"/>
      <c r="AD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2:48" ht="12.75" hidden="1">
      <c r="B188" t="s">
        <v>1335</v>
      </c>
      <c r="C188" s="187" t="s">
        <v>1336</v>
      </c>
      <c r="D188" s="191">
        <v>1.898</v>
      </c>
      <c r="E188" s="272"/>
      <c r="F188" s="272"/>
      <c r="G188" s="330">
        <v>0.478</v>
      </c>
      <c r="H188" s="83"/>
      <c r="I188" s="12"/>
      <c r="J188" s="76">
        <v>0.197</v>
      </c>
      <c r="K188" s="76">
        <v>0.186</v>
      </c>
      <c r="L188" s="76">
        <v>0.178</v>
      </c>
      <c r="M188" s="76">
        <v>0.178</v>
      </c>
      <c r="N188" s="76">
        <v>0.178</v>
      </c>
      <c r="O188" s="76">
        <v>0.178</v>
      </c>
      <c r="P188" s="76">
        <v>0.178</v>
      </c>
      <c r="Q188" s="76">
        <v>0.178</v>
      </c>
      <c r="R188" s="76">
        <v>0.178</v>
      </c>
      <c r="S188">
        <v>0.371</v>
      </c>
      <c r="T188" s="154">
        <f t="shared" si="17"/>
        <v>0.5609999999999999</v>
      </c>
      <c r="U188" s="155"/>
      <c r="V188" s="243"/>
      <c r="W188" s="30"/>
      <c r="X188" s="30"/>
      <c r="Y188" s="30"/>
      <c r="Z188" s="30"/>
      <c r="AA188" s="30"/>
      <c r="AB188" s="30"/>
      <c r="AC188" s="31"/>
      <c r="AD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2:48" ht="12.75" hidden="1">
      <c r="B189" t="s">
        <v>1337</v>
      </c>
      <c r="C189" s="187" t="s">
        <v>1338</v>
      </c>
      <c r="D189" s="191">
        <v>0</v>
      </c>
      <c r="E189" s="272"/>
      <c r="F189" s="272"/>
      <c r="G189" s="330">
        <v>0</v>
      </c>
      <c r="H189" s="83"/>
      <c r="I189" s="12"/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>
        <v>0</v>
      </c>
      <c r="T189" s="154">
        <f t="shared" si="17"/>
        <v>0</v>
      </c>
      <c r="U189" s="155"/>
      <c r="V189" s="243"/>
      <c r="W189" s="30"/>
      <c r="X189" s="30"/>
      <c r="Y189" s="30"/>
      <c r="Z189" s="30"/>
      <c r="AA189" s="30"/>
      <c r="AB189" s="30"/>
      <c r="AC189" s="31"/>
      <c r="AD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2:48" ht="12.75" hidden="1">
      <c r="B190"/>
      <c r="C190" s="187"/>
      <c r="D190" s="191">
        <v>0</v>
      </c>
      <c r="E190" s="272"/>
      <c r="F190" s="272"/>
      <c r="G190" s="330">
        <v>0</v>
      </c>
      <c r="H190" s="83"/>
      <c r="I190" s="12"/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>
        <v>0</v>
      </c>
      <c r="T190" s="154">
        <f t="shared" si="17"/>
        <v>0</v>
      </c>
      <c r="U190" s="155"/>
      <c r="V190" s="243"/>
      <c r="W190" s="30"/>
      <c r="X190" s="30"/>
      <c r="Y190" s="30"/>
      <c r="Z190" s="30"/>
      <c r="AA190" s="30"/>
      <c r="AB190" s="30"/>
      <c r="AC190" s="31"/>
      <c r="AD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2:48" ht="12.75" hidden="1">
      <c r="B191" t="s">
        <v>1339</v>
      </c>
      <c r="C191" s="187" t="s">
        <v>1340</v>
      </c>
      <c r="D191" s="191">
        <v>0</v>
      </c>
      <c r="E191" s="272"/>
      <c r="F191" s="272"/>
      <c r="G191" s="330">
        <v>0</v>
      </c>
      <c r="H191" s="83">
        <v>0.005</v>
      </c>
      <c r="I191" s="12"/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>
        <v>0.105</v>
      </c>
      <c r="T191" s="154">
        <f t="shared" si="17"/>
        <v>0.005</v>
      </c>
      <c r="U191" s="155"/>
      <c r="V191" s="243"/>
      <c r="W191" s="30"/>
      <c r="X191" s="30"/>
      <c r="Y191" s="30"/>
      <c r="Z191" s="30"/>
      <c r="AA191" s="30"/>
      <c r="AB191" s="30"/>
      <c r="AC191" s="31"/>
      <c r="AD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2:48" ht="12.75" hidden="1">
      <c r="B192" t="s">
        <v>1341</v>
      </c>
      <c r="C192" s="187" t="s">
        <v>1342</v>
      </c>
      <c r="D192" s="191">
        <v>0.04</v>
      </c>
      <c r="E192" s="272"/>
      <c r="F192" s="272"/>
      <c r="G192" s="330">
        <v>0.007</v>
      </c>
      <c r="H192" s="83"/>
      <c r="I192" s="12"/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>
        <v>0.04</v>
      </c>
      <c r="T192" s="154">
        <f t="shared" si="17"/>
        <v>0</v>
      </c>
      <c r="U192" s="155"/>
      <c r="V192" s="243"/>
      <c r="W192" s="30"/>
      <c r="X192" s="30"/>
      <c r="Y192" s="30"/>
      <c r="Z192" s="30"/>
      <c r="AA192" s="30"/>
      <c r="AB192" s="30"/>
      <c r="AC192" s="31"/>
      <c r="AD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2:48" ht="12.75" hidden="1">
      <c r="B193"/>
      <c r="C193" s="187"/>
      <c r="D193" s="191">
        <v>0</v>
      </c>
      <c r="E193" s="272"/>
      <c r="F193" s="272"/>
      <c r="G193" s="330">
        <v>0</v>
      </c>
      <c r="H193" s="83"/>
      <c r="I193" s="12"/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>
        <v>0</v>
      </c>
      <c r="T193" s="154">
        <f t="shared" si="17"/>
        <v>0</v>
      </c>
      <c r="U193" s="155"/>
      <c r="V193" s="243"/>
      <c r="W193" s="30"/>
      <c r="X193" s="30"/>
      <c r="Y193" s="30"/>
      <c r="Z193" s="30"/>
      <c r="AA193" s="30"/>
      <c r="AB193" s="30"/>
      <c r="AC193" s="31"/>
      <c r="AD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2:48" ht="12.75" hidden="1">
      <c r="B194" t="s">
        <v>1343</v>
      </c>
      <c r="C194" s="187" t="s">
        <v>1344</v>
      </c>
      <c r="D194" s="191">
        <v>0.5</v>
      </c>
      <c r="E194" s="272"/>
      <c r="F194" s="272"/>
      <c r="G194" s="330">
        <v>0.076</v>
      </c>
      <c r="H194" s="83"/>
      <c r="I194" s="12"/>
      <c r="J194" s="76">
        <v>0.016</v>
      </c>
      <c r="K194" s="76">
        <v>0.028</v>
      </c>
      <c r="L194" s="76">
        <v>0.054</v>
      </c>
      <c r="M194" s="76">
        <v>0.054</v>
      </c>
      <c r="N194" s="76">
        <v>0.054</v>
      </c>
      <c r="O194" s="76">
        <v>0.054</v>
      </c>
      <c r="P194" s="76">
        <v>0.054</v>
      </c>
      <c r="Q194" s="76">
        <v>0.054</v>
      </c>
      <c r="R194" s="76">
        <v>0.054</v>
      </c>
      <c r="S194">
        <v>0.081</v>
      </c>
      <c r="T194" s="154">
        <f t="shared" si="17"/>
        <v>0.098</v>
      </c>
      <c r="U194" s="155"/>
      <c r="V194" s="243"/>
      <c r="W194" s="30"/>
      <c r="X194" s="30"/>
      <c r="Y194" s="30"/>
      <c r="Z194" s="30"/>
      <c r="AA194" s="30"/>
      <c r="AB194" s="30"/>
      <c r="AC194" s="31"/>
      <c r="AD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2:48" ht="12.75" hidden="1">
      <c r="B195"/>
      <c r="C195" s="187"/>
      <c r="D195" s="191">
        <v>0</v>
      </c>
      <c r="E195" s="272"/>
      <c r="F195" s="272"/>
      <c r="G195" s="330">
        <v>0</v>
      </c>
      <c r="H195" s="83"/>
      <c r="I195" s="12"/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>
        <v>0</v>
      </c>
      <c r="T195" s="154">
        <f t="shared" si="17"/>
        <v>0</v>
      </c>
      <c r="U195" s="155"/>
      <c r="V195" s="243"/>
      <c r="W195" s="30"/>
      <c r="X195" s="30"/>
      <c r="Y195" s="30"/>
      <c r="Z195" s="30"/>
      <c r="AA195" s="30"/>
      <c r="AB195" s="30"/>
      <c r="AC195" s="31"/>
      <c r="AD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2:48" ht="12.75" hidden="1">
      <c r="B196"/>
      <c r="C196" s="187" t="s">
        <v>1345</v>
      </c>
      <c r="D196" s="191">
        <v>0</v>
      </c>
      <c r="E196" s="272"/>
      <c r="F196" s="272"/>
      <c r="G196" s="330">
        <v>0</v>
      </c>
      <c r="H196" s="83"/>
      <c r="I196" s="12"/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>
        <v>0</v>
      </c>
      <c r="T196" s="154">
        <f t="shared" si="17"/>
        <v>0</v>
      </c>
      <c r="U196" s="155"/>
      <c r="V196" s="243"/>
      <c r="W196" s="30"/>
      <c r="X196" s="30"/>
      <c r="Y196" s="30"/>
      <c r="Z196" s="30"/>
      <c r="AA196" s="30"/>
      <c r="AB196" s="30"/>
      <c r="AC196" s="31"/>
      <c r="AD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2:48" ht="12.75" hidden="1">
      <c r="B197"/>
      <c r="C197" s="187"/>
      <c r="D197" s="191">
        <v>0</v>
      </c>
      <c r="E197" s="272"/>
      <c r="F197" s="272"/>
      <c r="G197" s="330">
        <v>0</v>
      </c>
      <c r="H197" s="83"/>
      <c r="I197" s="12"/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>
        <v>0</v>
      </c>
      <c r="T197" s="154">
        <f t="shared" si="17"/>
        <v>0</v>
      </c>
      <c r="U197" s="155"/>
      <c r="V197" s="243"/>
      <c r="W197" s="30"/>
      <c r="X197" s="30"/>
      <c r="Y197" s="30"/>
      <c r="Z197" s="30"/>
      <c r="AA197" s="30"/>
      <c r="AB197" s="30"/>
      <c r="AC197" s="31"/>
      <c r="AD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2:48" ht="12.75" hidden="1">
      <c r="B198" t="s">
        <v>1346</v>
      </c>
      <c r="C198" s="187" t="s">
        <v>1347</v>
      </c>
      <c r="D198" s="191">
        <v>0.392</v>
      </c>
      <c r="E198" s="272"/>
      <c r="F198" s="272"/>
      <c r="G198" s="330">
        <v>0.006</v>
      </c>
      <c r="H198" s="83"/>
      <c r="I198" s="12"/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>
        <v>0.5</v>
      </c>
      <c r="T198" s="154">
        <f t="shared" si="17"/>
        <v>0</v>
      </c>
      <c r="U198" s="155"/>
      <c r="V198" s="243"/>
      <c r="W198" s="30"/>
      <c r="X198" s="30"/>
      <c r="Y198" s="30"/>
      <c r="Z198" s="30"/>
      <c r="AA198" s="30"/>
      <c r="AB198" s="30"/>
      <c r="AC198" s="31"/>
      <c r="AD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2:48" ht="12.75" hidden="1">
      <c r="B199"/>
      <c r="C199" s="187"/>
      <c r="D199" s="191">
        <v>0</v>
      </c>
      <c r="E199" s="272"/>
      <c r="F199" s="272"/>
      <c r="G199" s="330">
        <v>0</v>
      </c>
      <c r="H199" s="83"/>
      <c r="I199" s="12"/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>
        <v>0</v>
      </c>
      <c r="T199" s="154">
        <f t="shared" si="17"/>
        <v>0</v>
      </c>
      <c r="U199" s="155"/>
      <c r="V199" s="243"/>
      <c r="W199" s="30"/>
      <c r="X199" s="30"/>
      <c r="Y199" s="30"/>
      <c r="Z199" s="30"/>
      <c r="AA199" s="30"/>
      <c r="AB199" s="30"/>
      <c r="AC199" s="31"/>
      <c r="AD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2:48" ht="12.75" hidden="1">
      <c r="B200"/>
      <c r="C200" s="187" t="s">
        <v>1348</v>
      </c>
      <c r="D200" s="191">
        <v>0</v>
      </c>
      <c r="E200" s="272"/>
      <c r="F200" s="272"/>
      <c r="G200" s="330">
        <v>0</v>
      </c>
      <c r="H200" s="83"/>
      <c r="I200" s="12"/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>
        <v>0</v>
      </c>
      <c r="T200" s="154">
        <f t="shared" si="17"/>
        <v>0</v>
      </c>
      <c r="U200" s="155"/>
      <c r="V200" s="243"/>
      <c r="W200" s="30"/>
      <c r="X200" s="30"/>
      <c r="Y200" s="30"/>
      <c r="Z200" s="30"/>
      <c r="AA200" s="30"/>
      <c r="AB200" s="30"/>
      <c r="AC200" s="31"/>
      <c r="AD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2:48" ht="12.75" hidden="1">
      <c r="B201"/>
      <c r="C201" s="187"/>
      <c r="D201" s="191">
        <v>0</v>
      </c>
      <c r="E201" s="272"/>
      <c r="F201" s="272"/>
      <c r="G201" s="330">
        <v>0</v>
      </c>
      <c r="H201" s="83"/>
      <c r="I201" s="12"/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>
        <v>0</v>
      </c>
      <c r="T201" s="154">
        <f t="shared" si="17"/>
        <v>0</v>
      </c>
      <c r="U201" s="155"/>
      <c r="V201" s="243"/>
      <c r="W201" s="30"/>
      <c r="X201" s="30"/>
      <c r="Y201" s="30"/>
      <c r="Z201" s="30"/>
      <c r="AA201" s="30"/>
      <c r="AB201" s="30"/>
      <c r="AC201" s="31"/>
      <c r="AD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2:48" ht="12.75" hidden="1">
      <c r="B202" t="s">
        <v>1349</v>
      </c>
      <c r="C202" s="187" t="s">
        <v>1350</v>
      </c>
      <c r="D202" s="191">
        <v>0.013</v>
      </c>
      <c r="E202" s="272"/>
      <c r="F202" s="272"/>
      <c r="G202" s="330">
        <v>0.004</v>
      </c>
      <c r="H202" s="83"/>
      <c r="I202" s="12"/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0.007</v>
      </c>
      <c r="P202" s="76">
        <v>0</v>
      </c>
      <c r="Q202" s="76">
        <v>0</v>
      </c>
      <c r="R202" s="76">
        <v>0</v>
      </c>
      <c r="S202">
        <v>0.006</v>
      </c>
      <c r="T202" s="154">
        <f t="shared" si="17"/>
        <v>0</v>
      </c>
      <c r="U202" s="155"/>
      <c r="V202" s="243"/>
      <c r="W202" s="30"/>
      <c r="X202" s="30"/>
      <c r="Y202" s="30"/>
      <c r="Z202" s="30"/>
      <c r="AA202" s="30"/>
      <c r="AB202" s="30"/>
      <c r="AC202" s="31"/>
      <c r="AD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2:48" ht="12.75" hidden="1">
      <c r="B203" t="s">
        <v>1351</v>
      </c>
      <c r="C203" s="187" t="s">
        <v>1352</v>
      </c>
      <c r="D203" s="191">
        <v>0.016</v>
      </c>
      <c r="E203" s="272"/>
      <c r="F203" s="272"/>
      <c r="G203" s="330">
        <v>0.009</v>
      </c>
      <c r="H203" s="83">
        <v>0.005</v>
      </c>
      <c r="I203" s="12"/>
      <c r="J203" s="76">
        <v>0</v>
      </c>
      <c r="K203" s="76">
        <v>0</v>
      </c>
      <c r="L203" s="76">
        <v>0.012</v>
      </c>
      <c r="M203" s="76">
        <v>0</v>
      </c>
      <c r="N203" s="76">
        <v>0</v>
      </c>
      <c r="O203" s="76">
        <v>0.009</v>
      </c>
      <c r="P203" s="76">
        <v>0.001</v>
      </c>
      <c r="Q203" s="76">
        <v>-0.012</v>
      </c>
      <c r="R203" s="76">
        <v>0</v>
      </c>
      <c r="S203">
        <v>0</v>
      </c>
      <c r="T203" s="154">
        <f t="shared" si="17"/>
        <v>0.017</v>
      </c>
      <c r="U203" s="155"/>
      <c r="V203" s="243"/>
      <c r="W203" s="30"/>
      <c r="X203" s="30"/>
      <c r="Y203" s="30"/>
      <c r="Z203" s="30"/>
      <c r="AA203" s="30"/>
      <c r="AB203" s="30"/>
      <c r="AC203" s="31"/>
      <c r="AD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2:48" ht="12.75" hidden="1">
      <c r="B204" t="s">
        <v>1353</v>
      </c>
      <c r="C204" s="187" t="s">
        <v>1354</v>
      </c>
      <c r="D204" s="191">
        <v>0.029</v>
      </c>
      <c r="E204" s="272"/>
      <c r="F204" s="272"/>
      <c r="G204" s="330">
        <v>0</v>
      </c>
      <c r="H204" s="83"/>
      <c r="I204" s="12"/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>
        <v>0.029</v>
      </c>
      <c r="T204" s="154">
        <f t="shared" si="17"/>
        <v>0</v>
      </c>
      <c r="U204" s="155"/>
      <c r="V204" s="243"/>
      <c r="W204" s="30"/>
      <c r="X204" s="30"/>
      <c r="Y204" s="30"/>
      <c r="Z204" s="30"/>
      <c r="AA204" s="30"/>
      <c r="AB204" s="30"/>
      <c r="AC204" s="31"/>
      <c r="AD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2:48" ht="12.75" hidden="1">
      <c r="B205" t="s">
        <v>1355</v>
      </c>
      <c r="C205" s="187" t="s">
        <v>1356</v>
      </c>
      <c r="D205" s="191">
        <v>0</v>
      </c>
      <c r="E205" s="272"/>
      <c r="F205" s="272"/>
      <c r="G205" s="330">
        <v>0</v>
      </c>
      <c r="H205" s="83"/>
      <c r="I205" s="12"/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>
        <v>0</v>
      </c>
      <c r="T205" s="154">
        <f t="shared" si="17"/>
        <v>0</v>
      </c>
      <c r="U205" s="155"/>
      <c r="V205" s="243"/>
      <c r="W205" s="30"/>
      <c r="X205" s="30"/>
      <c r="Y205" s="30"/>
      <c r="Z205" s="30"/>
      <c r="AA205" s="30"/>
      <c r="AB205" s="30"/>
      <c r="AC205" s="31"/>
      <c r="AD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2:48" ht="12.75" hidden="1">
      <c r="B206"/>
      <c r="C206" s="187"/>
      <c r="D206" s="191">
        <v>0</v>
      </c>
      <c r="E206" s="272"/>
      <c r="F206" s="272"/>
      <c r="G206" s="330">
        <v>0</v>
      </c>
      <c r="H206" s="83"/>
      <c r="I206" s="12"/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>
        <v>0</v>
      </c>
      <c r="T206" s="154">
        <f t="shared" si="17"/>
        <v>0</v>
      </c>
      <c r="U206" s="155"/>
      <c r="V206" s="243"/>
      <c r="W206" s="30"/>
      <c r="X206" s="30"/>
      <c r="Y206" s="30"/>
      <c r="Z206" s="30"/>
      <c r="AA206" s="30"/>
      <c r="AB206" s="30"/>
      <c r="AC206" s="31"/>
      <c r="AD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2:48" ht="12.75" hidden="1">
      <c r="B207"/>
      <c r="C207" s="187" t="s">
        <v>1357</v>
      </c>
      <c r="D207" s="191">
        <v>0</v>
      </c>
      <c r="E207" s="272"/>
      <c r="F207" s="272"/>
      <c r="G207" s="330">
        <v>0</v>
      </c>
      <c r="H207" s="83"/>
      <c r="I207" s="12"/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>
        <v>0</v>
      </c>
      <c r="T207" s="154">
        <f t="shared" si="17"/>
        <v>0</v>
      </c>
      <c r="U207" s="155"/>
      <c r="V207" s="243"/>
      <c r="W207" s="30"/>
      <c r="X207" s="30"/>
      <c r="Y207" s="30"/>
      <c r="Z207" s="30"/>
      <c r="AA207" s="30"/>
      <c r="AB207" s="30"/>
      <c r="AC207" s="31"/>
      <c r="AD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2:48" ht="12.75" hidden="1">
      <c r="B208"/>
      <c r="C208" s="187"/>
      <c r="D208" s="191">
        <v>0</v>
      </c>
      <c r="E208" s="272"/>
      <c r="F208" s="272"/>
      <c r="G208" s="330">
        <v>0</v>
      </c>
      <c r="H208" s="83"/>
      <c r="I208" s="12"/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>
        <v>0</v>
      </c>
      <c r="T208" s="154">
        <f t="shared" si="17"/>
        <v>0</v>
      </c>
      <c r="U208" s="155"/>
      <c r="V208" s="243"/>
      <c r="W208" s="30"/>
      <c r="X208" s="30"/>
      <c r="Y208" s="30"/>
      <c r="Z208" s="30"/>
      <c r="AA208" s="30"/>
      <c r="AB208" s="30"/>
      <c r="AC208" s="31"/>
      <c r="AD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2:48" ht="12.75" hidden="1">
      <c r="B209" t="s">
        <v>1358</v>
      </c>
      <c r="C209" s="187" t="s">
        <v>1359</v>
      </c>
      <c r="D209" s="191">
        <v>0.001</v>
      </c>
      <c r="E209" s="272"/>
      <c r="F209" s="272"/>
      <c r="G209" s="330">
        <v>0.001</v>
      </c>
      <c r="H209" s="83"/>
      <c r="I209" s="12"/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>
        <v>0.001</v>
      </c>
      <c r="T209" s="154">
        <f t="shared" si="17"/>
        <v>0</v>
      </c>
      <c r="U209" s="155"/>
      <c r="V209" s="243"/>
      <c r="W209" s="30"/>
      <c r="X209" s="30"/>
      <c r="Y209" s="30"/>
      <c r="Z209" s="30"/>
      <c r="AA209" s="30"/>
      <c r="AB209" s="30"/>
      <c r="AC209" s="31"/>
      <c r="AD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2:48" ht="12.75" hidden="1">
      <c r="B210" t="s">
        <v>1360</v>
      </c>
      <c r="C210" s="187" t="s">
        <v>1361</v>
      </c>
      <c r="D210" s="191">
        <v>0.013</v>
      </c>
      <c r="E210" s="272"/>
      <c r="F210" s="272"/>
      <c r="G210" s="330">
        <v>0</v>
      </c>
      <c r="H210" s="83"/>
      <c r="I210" s="12"/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0.013</v>
      </c>
      <c r="S210">
        <v>0</v>
      </c>
      <c r="T210" s="154">
        <f t="shared" si="17"/>
        <v>0</v>
      </c>
      <c r="U210" s="155"/>
      <c r="V210" s="243"/>
      <c r="W210" s="30"/>
      <c r="X210" s="30"/>
      <c r="Y210" s="30"/>
      <c r="Z210" s="30"/>
      <c r="AA210" s="30"/>
      <c r="AB210" s="30"/>
      <c r="AC210" s="31"/>
      <c r="AD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2:48" ht="12.75" hidden="1">
      <c r="B211" t="s">
        <v>1362</v>
      </c>
      <c r="C211" s="187" t="s">
        <v>1363</v>
      </c>
      <c r="D211" s="191">
        <v>0.002</v>
      </c>
      <c r="E211" s="272"/>
      <c r="F211" s="272"/>
      <c r="G211" s="330">
        <v>0.001</v>
      </c>
      <c r="H211" s="83"/>
      <c r="I211" s="12"/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>
        <v>0.002</v>
      </c>
      <c r="T211" s="154">
        <f t="shared" si="17"/>
        <v>0</v>
      </c>
      <c r="U211" s="155"/>
      <c r="V211" s="243"/>
      <c r="W211" s="30"/>
      <c r="X211" s="30"/>
      <c r="Y211" s="30"/>
      <c r="Z211" s="30"/>
      <c r="AA211" s="30"/>
      <c r="AB211" s="30"/>
      <c r="AC211" s="31"/>
      <c r="AD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2:48" ht="12.75" hidden="1">
      <c r="B212" t="s">
        <v>1364</v>
      </c>
      <c r="C212" s="187" t="s">
        <v>1365</v>
      </c>
      <c r="D212" s="191">
        <v>0.001</v>
      </c>
      <c r="E212" s="272"/>
      <c r="F212" s="272"/>
      <c r="G212" s="330">
        <v>0</v>
      </c>
      <c r="H212" s="83"/>
      <c r="I212" s="12"/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>
        <v>0.001</v>
      </c>
      <c r="T212" s="154">
        <f t="shared" si="17"/>
        <v>0</v>
      </c>
      <c r="U212" s="155"/>
      <c r="V212" s="243"/>
      <c r="W212" s="30"/>
      <c r="X212" s="30"/>
      <c r="Y212" s="30"/>
      <c r="Z212" s="30"/>
      <c r="AA212" s="30"/>
      <c r="AB212" s="30"/>
      <c r="AC212" s="31"/>
      <c r="AD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2:48" ht="12.75" hidden="1">
      <c r="B213" t="s">
        <v>1366</v>
      </c>
      <c r="C213" s="187" t="s">
        <v>1367</v>
      </c>
      <c r="D213" s="191">
        <v>0.001</v>
      </c>
      <c r="E213" s="272"/>
      <c r="F213" s="272"/>
      <c r="G213" s="330">
        <v>0.001</v>
      </c>
      <c r="H213" s="83"/>
      <c r="I213" s="12"/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>
        <v>0.001</v>
      </c>
      <c r="T213" s="154">
        <f t="shared" si="17"/>
        <v>0</v>
      </c>
      <c r="U213" s="155"/>
      <c r="V213" s="243"/>
      <c r="W213" s="30"/>
      <c r="X213" s="30"/>
      <c r="Y213" s="30"/>
      <c r="Z213" s="30"/>
      <c r="AA213" s="30"/>
      <c r="AB213" s="30"/>
      <c r="AC213" s="31"/>
      <c r="AD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2:48" ht="12.75" hidden="1">
      <c r="B214" t="s">
        <v>1368</v>
      </c>
      <c r="C214" s="187" t="s">
        <v>1369</v>
      </c>
      <c r="D214" s="191">
        <v>0.002</v>
      </c>
      <c r="E214" s="272"/>
      <c r="F214" s="272"/>
      <c r="G214" s="330">
        <v>0</v>
      </c>
      <c r="H214" s="83"/>
      <c r="I214" s="12"/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>
        <v>0.002</v>
      </c>
      <c r="T214" s="154">
        <f t="shared" si="17"/>
        <v>0</v>
      </c>
      <c r="U214" s="155"/>
      <c r="V214" s="243"/>
      <c r="W214" s="30"/>
      <c r="X214" s="30"/>
      <c r="Y214" s="30"/>
      <c r="Z214" s="30"/>
      <c r="AA214" s="30"/>
      <c r="AB214" s="30"/>
      <c r="AC214" s="31"/>
      <c r="AD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2:48" ht="12.75" hidden="1">
      <c r="B215" t="s">
        <v>1370</v>
      </c>
      <c r="C215" s="187" t="s">
        <v>1371</v>
      </c>
      <c r="D215" s="191">
        <v>0.02</v>
      </c>
      <c r="E215" s="272"/>
      <c r="F215" s="272"/>
      <c r="G215" s="330">
        <v>0.002</v>
      </c>
      <c r="H215" s="83"/>
      <c r="I215" s="12"/>
      <c r="J215" s="76">
        <v>0</v>
      </c>
      <c r="K215" s="76">
        <v>0.02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>
        <v>0</v>
      </c>
      <c r="T215" s="154">
        <f t="shared" si="17"/>
        <v>0.02</v>
      </c>
      <c r="U215" s="155"/>
      <c r="V215" s="243"/>
      <c r="W215" s="30"/>
      <c r="X215" s="30"/>
      <c r="Y215" s="30"/>
      <c r="Z215" s="30"/>
      <c r="AA215" s="30"/>
      <c r="AB215" s="30"/>
      <c r="AC215" s="31"/>
      <c r="AD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2:48" ht="12.75" hidden="1">
      <c r="B216" t="s">
        <v>1372</v>
      </c>
      <c r="C216" s="187" t="s">
        <v>1373</v>
      </c>
      <c r="D216" s="191">
        <v>0.003</v>
      </c>
      <c r="E216" s="272"/>
      <c r="F216" s="272"/>
      <c r="G216" s="330">
        <v>0</v>
      </c>
      <c r="H216" s="83"/>
      <c r="I216" s="12"/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>
        <v>0.003</v>
      </c>
      <c r="T216" s="154">
        <f aca="true" t="shared" si="19" ref="T216:T279">SUM(H216:L216)</f>
        <v>0</v>
      </c>
      <c r="U216" s="155"/>
      <c r="V216" s="243"/>
      <c r="W216" s="30"/>
      <c r="X216" s="30"/>
      <c r="Y216" s="30"/>
      <c r="Z216" s="30"/>
      <c r="AA216" s="30"/>
      <c r="AB216" s="30"/>
      <c r="AC216" s="31"/>
      <c r="AD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2:48" ht="12.75" hidden="1">
      <c r="B217" t="s">
        <v>1374</v>
      </c>
      <c r="C217" s="187" t="s">
        <v>1375</v>
      </c>
      <c r="D217" s="191">
        <v>0.002</v>
      </c>
      <c r="E217" s="272"/>
      <c r="F217" s="272"/>
      <c r="G217" s="330">
        <v>0</v>
      </c>
      <c r="H217" s="83"/>
      <c r="I217" s="12"/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>
        <v>0.002</v>
      </c>
      <c r="T217" s="154">
        <f t="shared" si="19"/>
        <v>0</v>
      </c>
      <c r="U217" s="155"/>
      <c r="V217" s="243"/>
      <c r="W217" s="30"/>
      <c r="X217" s="30"/>
      <c r="Y217" s="30"/>
      <c r="Z217" s="30"/>
      <c r="AA217" s="30"/>
      <c r="AB217" s="30"/>
      <c r="AC217" s="31"/>
      <c r="AD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2:48" ht="12.75" hidden="1">
      <c r="B218" t="s">
        <v>1376</v>
      </c>
      <c r="C218" s="187" t="s">
        <v>0</v>
      </c>
      <c r="D218" s="191">
        <v>0.008</v>
      </c>
      <c r="E218" s="272"/>
      <c r="F218" s="272"/>
      <c r="G218" s="330">
        <v>0.005</v>
      </c>
      <c r="H218" s="83">
        <v>0.004</v>
      </c>
      <c r="I218" s="12"/>
      <c r="J218" s="76">
        <v>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0</v>
      </c>
      <c r="S218">
        <v>0.004</v>
      </c>
      <c r="T218" s="154">
        <f t="shared" si="19"/>
        <v>0.004</v>
      </c>
      <c r="U218" s="155"/>
      <c r="V218" s="243"/>
      <c r="W218" s="30"/>
      <c r="X218" s="30"/>
      <c r="Y218" s="30"/>
      <c r="Z218" s="30"/>
      <c r="AA218" s="30"/>
      <c r="AB218" s="30"/>
      <c r="AC218" s="31"/>
      <c r="AD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2:48" ht="12.75" hidden="1">
      <c r="B219" t="s">
        <v>1</v>
      </c>
      <c r="C219" s="187" t="s">
        <v>2</v>
      </c>
      <c r="D219" s="191">
        <v>0.004</v>
      </c>
      <c r="E219" s="272"/>
      <c r="F219" s="272"/>
      <c r="G219" s="330">
        <v>0</v>
      </c>
      <c r="H219" s="83"/>
      <c r="I219" s="12"/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>
        <v>0.004</v>
      </c>
      <c r="T219" s="154">
        <f t="shared" si="19"/>
        <v>0</v>
      </c>
      <c r="U219" s="155"/>
      <c r="V219" s="243"/>
      <c r="W219" s="30"/>
      <c r="X219" s="30"/>
      <c r="Y219" s="30"/>
      <c r="Z219" s="30"/>
      <c r="AA219" s="30"/>
      <c r="AB219" s="30"/>
      <c r="AC219" s="31"/>
      <c r="AD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2:48" ht="12.75" hidden="1">
      <c r="B220" t="s">
        <v>3</v>
      </c>
      <c r="C220" s="187" t="s">
        <v>4</v>
      </c>
      <c r="D220" s="191">
        <v>0.001</v>
      </c>
      <c r="E220" s="272"/>
      <c r="F220" s="272"/>
      <c r="G220" s="330">
        <v>0</v>
      </c>
      <c r="H220" s="83"/>
      <c r="I220" s="12"/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>
        <v>0.001</v>
      </c>
      <c r="T220" s="154">
        <f t="shared" si="19"/>
        <v>0</v>
      </c>
      <c r="U220" s="155"/>
      <c r="V220" s="243"/>
      <c r="W220" s="30"/>
      <c r="X220" s="30"/>
      <c r="Y220" s="30"/>
      <c r="Z220" s="30"/>
      <c r="AA220" s="30"/>
      <c r="AB220" s="30"/>
      <c r="AC220" s="31"/>
      <c r="AD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1:48" ht="12.75">
      <c r="A221" s="27" t="s">
        <v>766</v>
      </c>
      <c r="B221" s="181" t="s">
        <v>858</v>
      </c>
      <c r="C221" s="187" t="s">
        <v>489</v>
      </c>
      <c r="D221" s="191">
        <f>SUM(D222:D236)</f>
        <v>0.124</v>
      </c>
      <c r="E221" s="272"/>
      <c r="F221" s="272"/>
      <c r="G221" s="330">
        <f>SUM(G222:G236)</f>
        <v>0.009000000000000001</v>
      </c>
      <c r="H221" s="80">
        <f>SUM(H222:H236)</f>
        <v>0.002</v>
      </c>
      <c r="I221" s="80">
        <f>SUM(I222:I236)</f>
        <v>0</v>
      </c>
      <c r="J221" s="80">
        <f>SUM(J222:J236)</f>
        <v>0.004</v>
      </c>
      <c r="K221" s="80">
        <f aca="true" t="shared" si="20" ref="K221:R221">SUM(K222:K236)</f>
        <v>0.004</v>
      </c>
      <c r="L221" s="80">
        <f t="shared" si="20"/>
        <v>0.005</v>
      </c>
      <c r="M221" s="80">
        <f t="shared" si="20"/>
        <v>0.007</v>
      </c>
      <c r="N221" s="80">
        <f t="shared" si="20"/>
        <v>0.007</v>
      </c>
      <c r="O221" s="80">
        <f t="shared" si="20"/>
        <v>0.007</v>
      </c>
      <c r="P221" s="80">
        <f t="shared" si="20"/>
        <v>0.007</v>
      </c>
      <c r="Q221" s="80">
        <f t="shared" si="20"/>
        <v>0.047</v>
      </c>
      <c r="R221" s="80">
        <f t="shared" si="20"/>
        <v>0.057</v>
      </c>
      <c r="S221" s="80">
        <f>SUM(S222:S236)</f>
        <v>0.248</v>
      </c>
      <c r="T221" s="154">
        <f t="shared" si="19"/>
        <v>0.015</v>
      </c>
      <c r="U221" s="155"/>
      <c r="V221" s="243"/>
      <c r="W221" s="30"/>
      <c r="X221" s="30"/>
      <c r="Y221" s="30"/>
      <c r="Z221" s="30"/>
      <c r="AA221" s="30"/>
      <c r="AB221" s="30"/>
      <c r="AC221" s="31"/>
      <c r="AD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2:48" ht="12.75" hidden="1">
      <c r="B222" s="247"/>
      <c r="C222" s="262" t="s">
        <v>108</v>
      </c>
      <c r="D222" s="249">
        <v>0</v>
      </c>
      <c r="E222" s="275"/>
      <c r="F222" s="275"/>
      <c r="G222" s="332">
        <v>0</v>
      </c>
      <c r="H222" s="8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54">
        <f t="shared" si="19"/>
        <v>0</v>
      </c>
      <c r="U222" s="155"/>
      <c r="V222" s="243"/>
      <c r="W222" s="30"/>
      <c r="X222" s="30"/>
      <c r="Y222" s="30"/>
      <c r="Z222" s="30"/>
      <c r="AA222" s="30"/>
      <c r="AB222" s="30"/>
      <c r="AC222" s="31"/>
      <c r="AD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2:48" ht="12.75" hidden="1">
      <c r="B223" s="247"/>
      <c r="C223" s="262"/>
      <c r="D223" s="249">
        <v>0</v>
      </c>
      <c r="E223" s="275"/>
      <c r="F223" s="275"/>
      <c r="G223" s="332">
        <v>0</v>
      </c>
      <c r="H223" s="8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54">
        <f t="shared" si="19"/>
        <v>0</v>
      </c>
      <c r="U223" s="155"/>
      <c r="V223" s="243"/>
      <c r="W223" s="30"/>
      <c r="X223" s="30"/>
      <c r="Y223" s="30"/>
      <c r="Z223" s="30"/>
      <c r="AA223" s="30"/>
      <c r="AB223" s="30"/>
      <c r="AC223" s="31"/>
      <c r="AD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2:48" ht="12.75" hidden="1">
      <c r="B224" t="s">
        <v>109</v>
      </c>
      <c r="C224" s="187" t="s">
        <v>110</v>
      </c>
      <c r="D224" s="191">
        <v>0</v>
      </c>
      <c r="E224" s="272"/>
      <c r="F224" s="272"/>
      <c r="G224" s="330">
        <v>0</v>
      </c>
      <c r="H224" s="83"/>
      <c r="I224" s="12"/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>
        <v>0</v>
      </c>
      <c r="T224" s="154">
        <f t="shared" si="19"/>
        <v>0</v>
      </c>
      <c r="U224" s="155"/>
      <c r="V224" s="243"/>
      <c r="W224" s="30"/>
      <c r="X224" s="30"/>
      <c r="Y224" s="30"/>
      <c r="Z224" s="30"/>
      <c r="AA224" s="30"/>
      <c r="AB224" s="30"/>
      <c r="AC224" s="31"/>
      <c r="AD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2:48" ht="12.75" hidden="1">
      <c r="B225"/>
      <c r="C225" s="187"/>
      <c r="D225" s="191">
        <v>0</v>
      </c>
      <c r="E225" s="272"/>
      <c r="F225" s="272"/>
      <c r="G225" s="330">
        <v>0</v>
      </c>
      <c r="H225" s="83"/>
      <c r="I225" s="12"/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>
        <v>0</v>
      </c>
      <c r="T225" s="154">
        <f t="shared" si="19"/>
        <v>0</v>
      </c>
      <c r="U225" s="155"/>
      <c r="V225" s="243"/>
      <c r="W225" s="30"/>
      <c r="X225" s="30"/>
      <c r="Y225" s="30"/>
      <c r="Z225" s="30"/>
      <c r="AA225" s="30"/>
      <c r="AB225" s="30"/>
      <c r="AC225" s="31"/>
      <c r="AD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2:48" ht="12.75" hidden="1">
      <c r="B226"/>
      <c r="C226" s="187" t="s">
        <v>112</v>
      </c>
      <c r="D226" s="191">
        <v>0</v>
      </c>
      <c r="E226" s="272"/>
      <c r="F226" s="272"/>
      <c r="G226" s="330">
        <v>0</v>
      </c>
      <c r="H226" s="83"/>
      <c r="I226" s="12"/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>
        <v>0</v>
      </c>
      <c r="T226" s="154">
        <f t="shared" si="19"/>
        <v>0</v>
      </c>
      <c r="U226" s="155"/>
      <c r="V226" s="243"/>
      <c r="W226" s="30"/>
      <c r="X226" s="30"/>
      <c r="Y226" s="30"/>
      <c r="Z226" s="30"/>
      <c r="AA226" s="30"/>
      <c r="AB226" s="30"/>
      <c r="AC226" s="31"/>
      <c r="AD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2:48" ht="12.75" hidden="1">
      <c r="B227"/>
      <c r="C227" s="187"/>
      <c r="D227" s="191">
        <v>0</v>
      </c>
      <c r="E227" s="272"/>
      <c r="F227" s="272"/>
      <c r="G227" s="330">
        <v>0</v>
      </c>
      <c r="H227" s="83"/>
      <c r="I227" s="12"/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>
        <v>0</v>
      </c>
      <c r="T227" s="154">
        <f t="shared" si="19"/>
        <v>0</v>
      </c>
      <c r="U227" s="155"/>
      <c r="V227" s="243"/>
      <c r="W227" s="30"/>
      <c r="X227" s="30"/>
      <c r="Y227" s="30"/>
      <c r="Z227" s="30"/>
      <c r="AA227" s="30"/>
      <c r="AB227" s="30"/>
      <c r="AC227" s="31"/>
      <c r="AD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2:48" ht="12.75" hidden="1">
      <c r="B228"/>
      <c r="C228" s="187" t="s">
        <v>113</v>
      </c>
      <c r="D228" s="191">
        <v>0</v>
      </c>
      <c r="E228" s="272"/>
      <c r="F228" s="272"/>
      <c r="G228" s="330">
        <v>0</v>
      </c>
      <c r="H228" s="83"/>
      <c r="I228" s="12"/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>
        <v>0</v>
      </c>
      <c r="T228" s="154">
        <f t="shared" si="19"/>
        <v>0</v>
      </c>
      <c r="U228" s="155"/>
      <c r="V228" s="243"/>
      <c r="W228" s="30"/>
      <c r="X228" s="30"/>
      <c r="Y228" s="30"/>
      <c r="Z228" s="30"/>
      <c r="AA228" s="30"/>
      <c r="AB228" s="30"/>
      <c r="AC228" s="31"/>
      <c r="AD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2:48" ht="12.75" hidden="1">
      <c r="B229"/>
      <c r="C229" s="187"/>
      <c r="D229" s="191">
        <v>0</v>
      </c>
      <c r="E229" s="272"/>
      <c r="F229" s="272"/>
      <c r="G229" s="330">
        <v>0</v>
      </c>
      <c r="H229" s="83"/>
      <c r="I229" s="12"/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>
        <v>0</v>
      </c>
      <c r="T229" s="154">
        <f t="shared" si="19"/>
        <v>0</v>
      </c>
      <c r="U229" s="155"/>
      <c r="V229" s="243"/>
      <c r="W229" s="30"/>
      <c r="X229" s="30"/>
      <c r="Y229" s="30"/>
      <c r="Z229" s="30"/>
      <c r="AA229" s="30"/>
      <c r="AB229" s="30"/>
      <c r="AC229" s="31"/>
      <c r="AD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</row>
    <row r="230" spans="2:48" ht="12.75" hidden="1">
      <c r="B230" t="s">
        <v>114</v>
      </c>
      <c r="C230" s="187" t="s">
        <v>115</v>
      </c>
      <c r="D230" s="191">
        <v>0.003</v>
      </c>
      <c r="E230" s="272"/>
      <c r="F230" s="272"/>
      <c r="G230" s="330"/>
      <c r="H230" s="83">
        <v>0.001</v>
      </c>
      <c r="I230" s="12"/>
      <c r="J230" s="76">
        <v>0.004</v>
      </c>
      <c r="K230" s="76">
        <v>0.004</v>
      </c>
      <c r="L230" s="76">
        <v>0.005</v>
      </c>
      <c r="M230" s="76">
        <v>0.007</v>
      </c>
      <c r="N230" s="76">
        <v>0.007</v>
      </c>
      <c r="O230" s="76">
        <v>0.007</v>
      </c>
      <c r="P230" s="76">
        <v>0.007</v>
      </c>
      <c r="Q230" s="76">
        <v>0.047</v>
      </c>
      <c r="R230" s="76">
        <v>0.057</v>
      </c>
      <c r="S230">
        <v>0.058</v>
      </c>
      <c r="T230" s="154">
        <f t="shared" si="19"/>
        <v>0.014000000000000002</v>
      </c>
      <c r="U230" s="155"/>
      <c r="V230" s="243"/>
      <c r="W230" s="30"/>
      <c r="X230" s="30"/>
      <c r="Y230" s="30"/>
      <c r="Z230" s="30"/>
      <c r="AA230" s="30"/>
      <c r="AB230" s="30"/>
      <c r="AC230" s="31"/>
      <c r="AD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2:48" ht="12.75" hidden="1">
      <c r="B231"/>
      <c r="C231" s="187"/>
      <c r="D231" s="191">
        <v>0</v>
      </c>
      <c r="E231" s="272"/>
      <c r="F231" s="272"/>
      <c r="G231" s="330">
        <v>0</v>
      </c>
      <c r="H231" s="83"/>
      <c r="I231" s="12"/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>
        <v>0</v>
      </c>
      <c r="T231" s="154">
        <f t="shared" si="19"/>
        <v>0</v>
      </c>
      <c r="U231" s="155"/>
      <c r="V231" s="243"/>
      <c r="W231" s="30"/>
      <c r="X231" s="30"/>
      <c r="Y231" s="30"/>
      <c r="Z231" s="30"/>
      <c r="AA231" s="30"/>
      <c r="AB231" s="30"/>
      <c r="AC231" s="31"/>
      <c r="AD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2:48" ht="12.75" hidden="1">
      <c r="B232" t="s">
        <v>116</v>
      </c>
      <c r="C232" s="187" t="s">
        <v>117</v>
      </c>
      <c r="D232" s="191">
        <v>0</v>
      </c>
      <c r="E232" s="272"/>
      <c r="F232" s="272"/>
      <c r="G232" s="330">
        <v>0</v>
      </c>
      <c r="H232" s="83"/>
      <c r="I232" s="12"/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>
        <v>0</v>
      </c>
      <c r="T232" s="154">
        <f t="shared" si="19"/>
        <v>0</v>
      </c>
      <c r="U232" s="155"/>
      <c r="V232" s="243"/>
      <c r="W232" s="30"/>
      <c r="X232" s="30"/>
      <c r="Y232" s="30"/>
      <c r="Z232" s="30"/>
      <c r="AA232" s="30"/>
      <c r="AB232" s="30"/>
      <c r="AC232" s="31"/>
      <c r="AD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</row>
    <row r="233" spans="2:48" ht="12.75" hidden="1">
      <c r="B233" t="s">
        <v>118</v>
      </c>
      <c r="C233" s="187" t="s">
        <v>119</v>
      </c>
      <c r="D233" s="191">
        <v>0</v>
      </c>
      <c r="E233" s="272"/>
      <c r="F233" s="272"/>
      <c r="G233" s="330">
        <v>0</v>
      </c>
      <c r="H233" s="83"/>
      <c r="I233" s="12"/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>
        <v>0</v>
      </c>
      <c r="T233" s="154">
        <f t="shared" si="19"/>
        <v>0</v>
      </c>
      <c r="U233" s="155"/>
      <c r="V233" s="243"/>
      <c r="W233" s="30"/>
      <c r="X233" s="30"/>
      <c r="Y233" s="30"/>
      <c r="Z233" s="30"/>
      <c r="AA233" s="30"/>
      <c r="AB233" s="30"/>
      <c r="AC233" s="31"/>
      <c r="AD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</row>
    <row r="234" spans="2:48" ht="12.75" hidden="1">
      <c r="B234"/>
      <c r="C234" s="187"/>
      <c r="D234" s="191">
        <v>0</v>
      </c>
      <c r="E234" s="272"/>
      <c r="F234" s="272"/>
      <c r="G234" s="330">
        <v>0</v>
      </c>
      <c r="H234" s="83"/>
      <c r="I234" s="12"/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>
        <v>0</v>
      </c>
      <c r="T234" s="154">
        <f t="shared" si="19"/>
        <v>0</v>
      </c>
      <c r="U234" s="155"/>
      <c r="V234" s="243"/>
      <c r="W234" s="30"/>
      <c r="X234" s="30"/>
      <c r="Y234" s="30"/>
      <c r="Z234" s="30"/>
      <c r="AA234" s="30"/>
      <c r="AB234" s="30"/>
      <c r="AC234" s="31"/>
      <c r="AD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2:48" ht="12.75" hidden="1">
      <c r="B235" t="s">
        <v>120</v>
      </c>
      <c r="C235" s="187" t="s">
        <v>121</v>
      </c>
      <c r="D235" s="191">
        <v>0.097</v>
      </c>
      <c r="E235" s="272"/>
      <c r="F235" s="272"/>
      <c r="G235" s="330">
        <v>0.006</v>
      </c>
      <c r="H235" s="83"/>
      <c r="I235" s="12"/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>
        <v>0.19</v>
      </c>
      <c r="T235" s="154">
        <f t="shared" si="19"/>
        <v>0</v>
      </c>
      <c r="U235" s="155"/>
      <c r="V235" s="243"/>
      <c r="W235" s="30"/>
      <c r="X235" s="30"/>
      <c r="Y235" s="30"/>
      <c r="Z235" s="30"/>
      <c r="AA235" s="30"/>
      <c r="AB235" s="30"/>
      <c r="AC235" s="31"/>
      <c r="AD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2:48" ht="12.75" hidden="1">
      <c r="B236" t="s">
        <v>122</v>
      </c>
      <c r="C236" s="187" t="s">
        <v>123</v>
      </c>
      <c r="D236" s="191">
        <v>0.024</v>
      </c>
      <c r="E236" s="272"/>
      <c r="F236" s="272"/>
      <c r="G236" s="330">
        <v>0.003</v>
      </c>
      <c r="H236" s="83">
        <v>0.001</v>
      </c>
      <c r="I236" s="12"/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>
        <v>0</v>
      </c>
      <c r="T236" s="154">
        <f t="shared" si="19"/>
        <v>0.001</v>
      </c>
      <c r="U236" s="155"/>
      <c r="V236" s="243"/>
      <c r="W236" s="30"/>
      <c r="X236" s="30"/>
      <c r="Y236" s="30"/>
      <c r="Z236" s="30"/>
      <c r="AA236" s="30"/>
      <c r="AB236" s="30"/>
      <c r="AC236" s="31"/>
      <c r="AD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2:48" ht="12.75" hidden="1">
      <c r="B237"/>
      <c r="C237" s="187"/>
      <c r="D237" s="191">
        <v>0</v>
      </c>
      <c r="E237" s="272"/>
      <c r="F237" s="272"/>
      <c r="G237" s="330">
        <v>0</v>
      </c>
      <c r="H237" s="8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54">
        <f t="shared" si="19"/>
        <v>0</v>
      </c>
      <c r="U237" s="155"/>
      <c r="V237" s="243"/>
      <c r="W237" s="30"/>
      <c r="X237" s="30"/>
      <c r="Y237" s="30"/>
      <c r="Z237" s="30"/>
      <c r="AA237" s="30"/>
      <c r="AB237" s="30"/>
      <c r="AC237" s="31"/>
      <c r="AD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</row>
    <row r="238" spans="1:48" ht="12.75">
      <c r="A238" s="27" t="s">
        <v>774</v>
      </c>
      <c r="B238" s="181" t="s">
        <v>858</v>
      </c>
      <c r="C238" s="187" t="s">
        <v>482</v>
      </c>
      <c r="D238" s="191">
        <f>SUM(D239:D262)</f>
        <v>1.175</v>
      </c>
      <c r="E238" s="272"/>
      <c r="F238" s="272"/>
      <c r="G238" s="330">
        <f>SUM(G239:G262)</f>
        <v>0.548</v>
      </c>
      <c r="H238" s="80">
        <f>SUM(H239:H262)</f>
        <v>0.154</v>
      </c>
      <c r="I238" s="80">
        <f>SUM(I239:I262)</f>
        <v>0</v>
      </c>
      <c r="J238" s="80">
        <f aca="true" t="shared" si="21" ref="J238:S238">SUM(J239:J262)</f>
        <v>0.004</v>
      </c>
      <c r="K238" s="80">
        <f t="shared" si="21"/>
        <v>0.109</v>
      </c>
      <c r="L238" s="80">
        <f t="shared" si="21"/>
        <v>0.114</v>
      </c>
      <c r="M238" s="80">
        <f t="shared" si="21"/>
        <v>0.114</v>
      </c>
      <c r="N238" s="80">
        <f t="shared" si="21"/>
        <v>0.132</v>
      </c>
      <c r="O238" s="80">
        <f t="shared" si="21"/>
        <v>0.099</v>
      </c>
      <c r="P238" s="80">
        <f t="shared" si="21"/>
        <v>0.084</v>
      </c>
      <c r="Q238" s="80">
        <f t="shared" si="21"/>
        <v>0.079</v>
      </c>
      <c r="R238" s="80">
        <f t="shared" si="21"/>
        <v>0.09000000000000001</v>
      </c>
      <c r="S238" s="80">
        <f t="shared" si="21"/>
        <v>0.184</v>
      </c>
      <c r="T238" s="154">
        <f t="shared" si="19"/>
        <v>0.381</v>
      </c>
      <c r="U238" s="155"/>
      <c r="V238" s="243"/>
      <c r="W238" s="30"/>
      <c r="X238" s="30"/>
      <c r="Y238" s="30"/>
      <c r="Z238" s="30"/>
      <c r="AA238" s="30"/>
      <c r="AB238" s="30"/>
      <c r="AC238" s="31"/>
      <c r="AD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2:48" ht="12.75" hidden="1">
      <c r="B239"/>
      <c r="C239" s="187" t="s">
        <v>124</v>
      </c>
      <c r="D239" s="191">
        <v>0</v>
      </c>
      <c r="E239" s="272"/>
      <c r="F239" s="272"/>
      <c r="G239" s="330">
        <v>0</v>
      </c>
      <c r="H239" s="83"/>
      <c r="I239" s="12"/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54">
        <f t="shared" si="19"/>
        <v>0</v>
      </c>
      <c r="U239" s="155"/>
      <c r="V239" s="243"/>
      <c r="W239" s="30"/>
      <c r="X239" s="30"/>
      <c r="Y239" s="30"/>
      <c r="Z239" s="30"/>
      <c r="AA239" s="30"/>
      <c r="AB239" s="30"/>
      <c r="AC239" s="31"/>
      <c r="AD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</row>
    <row r="240" spans="2:48" ht="12.75" hidden="1">
      <c r="B240"/>
      <c r="C240" s="187"/>
      <c r="D240" s="191">
        <v>0</v>
      </c>
      <c r="E240" s="272"/>
      <c r="F240" s="272"/>
      <c r="G240" s="330">
        <v>0</v>
      </c>
      <c r="H240" s="83"/>
      <c r="I240" s="12"/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54">
        <f t="shared" si="19"/>
        <v>0</v>
      </c>
      <c r="U240" s="155"/>
      <c r="V240" s="243"/>
      <c r="W240" s="30"/>
      <c r="X240" s="30"/>
      <c r="Y240" s="30"/>
      <c r="Z240" s="30"/>
      <c r="AA240" s="30"/>
      <c r="AB240" s="30"/>
      <c r="AC240" s="31"/>
      <c r="AD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</row>
    <row r="241" spans="2:48" ht="12.75" hidden="1">
      <c r="B241"/>
      <c r="C241" s="187"/>
      <c r="D241" s="191">
        <v>0</v>
      </c>
      <c r="E241" s="272"/>
      <c r="F241" s="272"/>
      <c r="G241" s="330">
        <v>0</v>
      </c>
      <c r="H241" s="83"/>
      <c r="I241" s="12"/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54">
        <f t="shared" si="19"/>
        <v>0</v>
      </c>
      <c r="U241" s="155"/>
      <c r="V241" s="243"/>
      <c r="W241" s="30"/>
      <c r="X241" s="30"/>
      <c r="Y241" s="30"/>
      <c r="Z241" s="30"/>
      <c r="AA241" s="30"/>
      <c r="AB241" s="30"/>
      <c r="AC241" s="31"/>
      <c r="AD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2:48" ht="12.75" hidden="1">
      <c r="B242" t="s">
        <v>125</v>
      </c>
      <c r="C242" s="187" t="s">
        <v>126</v>
      </c>
      <c r="D242" s="191">
        <v>0</v>
      </c>
      <c r="E242" s="272"/>
      <c r="F242" s="272"/>
      <c r="G242" s="330">
        <v>0</v>
      </c>
      <c r="H242" s="83"/>
      <c r="I242" s="12"/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54">
        <f t="shared" si="19"/>
        <v>0</v>
      </c>
      <c r="U242" s="155"/>
      <c r="V242" s="243"/>
      <c r="W242" s="30"/>
      <c r="X242" s="30"/>
      <c r="Y242" s="30"/>
      <c r="Z242" s="30"/>
      <c r="AA242" s="30"/>
      <c r="AB242" s="30"/>
      <c r="AC242" s="31"/>
      <c r="AD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2:48" ht="12.75" hidden="1">
      <c r="B243"/>
      <c r="C243" s="187"/>
      <c r="D243" s="191">
        <v>0</v>
      </c>
      <c r="E243" s="272"/>
      <c r="F243" s="272"/>
      <c r="G243" s="330">
        <v>0</v>
      </c>
      <c r="H243" s="83"/>
      <c r="I243" s="12"/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54">
        <f t="shared" si="19"/>
        <v>0</v>
      </c>
      <c r="U243" s="155"/>
      <c r="V243" s="243"/>
      <c r="W243" s="30"/>
      <c r="X243" s="30"/>
      <c r="Y243" s="30"/>
      <c r="Z243" s="30"/>
      <c r="AA243" s="30"/>
      <c r="AB243" s="30"/>
      <c r="AC243" s="31"/>
      <c r="AD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</row>
    <row r="244" spans="2:48" ht="12.75" hidden="1">
      <c r="B244" t="s">
        <v>127</v>
      </c>
      <c r="C244" s="187" t="s">
        <v>128</v>
      </c>
      <c r="D244" s="191">
        <v>0.001</v>
      </c>
      <c r="E244" s="272"/>
      <c r="F244" s="272"/>
      <c r="G244" s="330">
        <v>0</v>
      </c>
      <c r="H244" s="83"/>
      <c r="I244" s="12"/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0.001</v>
      </c>
      <c r="T244" s="154">
        <f t="shared" si="19"/>
        <v>0</v>
      </c>
      <c r="U244" s="155"/>
      <c r="V244" s="243"/>
      <c r="W244" s="30"/>
      <c r="X244" s="30"/>
      <c r="Y244" s="30"/>
      <c r="Z244" s="30"/>
      <c r="AA244" s="30"/>
      <c r="AB244" s="30"/>
      <c r="AC244" s="31"/>
      <c r="AD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</row>
    <row r="245" spans="2:48" ht="12.75" hidden="1">
      <c r="B245" t="s">
        <v>129</v>
      </c>
      <c r="C245" s="187" t="s">
        <v>130</v>
      </c>
      <c r="D245" s="191">
        <v>0.001</v>
      </c>
      <c r="E245" s="272"/>
      <c r="F245" s="272"/>
      <c r="G245" s="330">
        <v>0.001</v>
      </c>
      <c r="H245" s="83">
        <v>0.001</v>
      </c>
      <c r="I245" s="12"/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54">
        <f t="shared" si="19"/>
        <v>0.001</v>
      </c>
      <c r="U245" s="155"/>
      <c r="V245" s="243"/>
      <c r="W245" s="30"/>
      <c r="X245" s="30"/>
      <c r="Y245" s="30"/>
      <c r="Z245" s="30"/>
      <c r="AA245" s="30"/>
      <c r="AB245" s="30"/>
      <c r="AC245" s="31"/>
      <c r="AD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</row>
    <row r="246" spans="2:48" ht="12.75" hidden="1">
      <c r="B246" t="s">
        <v>131</v>
      </c>
      <c r="C246" s="187" t="s">
        <v>132</v>
      </c>
      <c r="D246" s="191">
        <v>0.004</v>
      </c>
      <c r="E246" s="272"/>
      <c r="F246" s="272"/>
      <c r="G246" s="330">
        <v>0</v>
      </c>
      <c r="H246" s="83"/>
      <c r="I246" s="12"/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0.004</v>
      </c>
      <c r="T246" s="154">
        <f t="shared" si="19"/>
        <v>0</v>
      </c>
      <c r="U246" s="155"/>
      <c r="V246" s="243"/>
      <c r="W246" s="30"/>
      <c r="X246" s="30"/>
      <c r="Y246" s="30"/>
      <c r="Z246" s="30"/>
      <c r="AA246" s="30"/>
      <c r="AB246" s="30"/>
      <c r="AC246" s="31"/>
      <c r="AD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</row>
    <row r="247" spans="2:48" ht="12.75" hidden="1">
      <c r="B247" t="s">
        <v>133</v>
      </c>
      <c r="C247" s="187" t="s">
        <v>134</v>
      </c>
      <c r="D247" s="191">
        <v>0.01</v>
      </c>
      <c r="E247" s="272"/>
      <c r="F247" s="272"/>
      <c r="G247" s="330">
        <v>0</v>
      </c>
      <c r="H247" s="83"/>
      <c r="I247" s="12"/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0.01</v>
      </c>
      <c r="T247" s="154">
        <f t="shared" si="19"/>
        <v>0</v>
      </c>
      <c r="U247" s="155"/>
      <c r="V247" s="243"/>
      <c r="W247" s="30"/>
      <c r="X247" s="30"/>
      <c r="Y247" s="30"/>
      <c r="Z247" s="30"/>
      <c r="AA247" s="30"/>
      <c r="AB247" s="30"/>
      <c r="AC247" s="31"/>
      <c r="AD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</row>
    <row r="248" spans="2:48" ht="12.75" hidden="1">
      <c r="B248" t="s">
        <v>135</v>
      </c>
      <c r="C248" s="187" t="s">
        <v>136</v>
      </c>
      <c r="D248" s="191">
        <v>0</v>
      </c>
      <c r="E248" s="272"/>
      <c r="F248" s="272"/>
      <c r="G248" s="330">
        <v>0</v>
      </c>
      <c r="H248" s="83"/>
      <c r="I248" s="12"/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54">
        <f t="shared" si="19"/>
        <v>0</v>
      </c>
      <c r="U248" s="155"/>
      <c r="V248" s="243"/>
      <c r="W248" s="30"/>
      <c r="X248" s="30"/>
      <c r="Y248" s="30"/>
      <c r="Z248" s="30"/>
      <c r="AA248" s="30"/>
      <c r="AB248" s="30"/>
      <c r="AC248" s="31"/>
      <c r="AD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</row>
    <row r="249" spans="2:48" ht="12.75" hidden="1">
      <c r="B249"/>
      <c r="C249" s="187"/>
      <c r="D249" s="191">
        <v>0</v>
      </c>
      <c r="E249" s="272"/>
      <c r="F249" s="272"/>
      <c r="G249" s="330">
        <v>0</v>
      </c>
      <c r="H249" s="83"/>
      <c r="I249" s="12"/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54">
        <f t="shared" si="19"/>
        <v>0</v>
      </c>
      <c r="U249" s="155"/>
      <c r="V249" s="243"/>
      <c r="W249" s="30"/>
      <c r="X249" s="30"/>
      <c r="Y249" s="30"/>
      <c r="Z249" s="30"/>
      <c r="AA249" s="30"/>
      <c r="AB249" s="30"/>
      <c r="AC249" s="31"/>
      <c r="AD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</row>
    <row r="250" spans="2:48" ht="12.75" hidden="1">
      <c r="B250"/>
      <c r="C250" s="187"/>
      <c r="D250" s="191">
        <v>0</v>
      </c>
      <c r="E250" s="272"/>
      <c r="F250" s="272"/>
      <c r="G250" s="330">
        <v>0</v>
      </c>
      <c r="H250" s="83"/>
      <c r="I250" s="12"/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54">
        <f t="shared" si="19"/>
        <v>0</v>
      </c>
      <c r="U250" s="155"/>
      <c r="V250" s="243"/>
      <c r="W250" s="30"/>
      <c r="X250" s="30"/>
      <c r="Y250" s="30"/>
      <c r="Z250" s="30"/>
      <c r="AA250" s="30"/>
      <c r="AB250" s="30"/>
      <c r="AC250" s="31"/>
      <c r="AD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</row>
    <row r="251" spans="2:48" ht="12.75" hidden="1">
      <c r="B251"/>
      <c r="C251" s="187"/>
      <c r="D251" s="191">
        <v>0</v>
      </c>
      <c r="E251" s="272"/>
      <c r="F251" s="272"/>
      <c r="G251" s="330">
        <v>0</v>
      </c>
      <c r="H251" s="83"/>
      <c r="I251" s="12"/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54">
        <f t="shared" si="19"/>
        <v>0</v>
      </c>
      <c r="U251" s="155"/>
      <c r="V251" s="243"/>
      <c r="W251" s="30"/>
      <c r="X251" s="30"/>
      <c r="Y251" s="30"/>
      <c r="Z251" s="30"/>
      <c r="AA251" s="30"/>
      <c r="AB251" s="30"/>
      <c r="AC251" s="31"/>
      <c r="AD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</row>
    <row r="252" spans="2:48" ht="12.75" hidden="1">
      <c r="B252"/>
      <c r="C252" s="187"/>
      <c r="D252" s="191">
        <v>0</v>
      </c>
      <c r="E252" s="272"/>
      <c r="F252" s="272"/>
      <c r="G252" s="330">
        <v>0</v>
      </c>
      <c r="H252" s="83"/>
      <c r="I252" s="12"/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54">
        <f t="shared" si="19"/>
        <v>0</v>
      </c>
      <c r="U252" s="155"/>
      <c r="V252" s="243"/>
      <c r="W252" s="30"/>
      <c r="X252" s="30"/>
      <c r="Y252" s="30"/>
      <c r="Z252" s="30"/>
      <c r="AA252" s="30"/>
      <c r="AB252" s="30"/>
      <c r="AC252" s="31"/>
      <c r="AD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</row>
    <row r="253" spans="2:48" ht="12.75" hidden="1">
      <c r="B253"/>
      <c r="C253" s="187" t="s">
        <v>137</v>
      </c>
      <c r="D253" s="191">
        <v>0</v>
      </c>
      <c r="E253" s="272"/>
      <c r="F253" s="272"/>
      <c r="G253" s="330">
        <v>0</v>
      </c>
      <c r="H253" s="83"/>
      <c r="I253" s="12"/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54">
        <f t="shared" si="19"/>
        <v>0</v>
      </c>
      <c r="U253" s="155"/>
      <c r="V253" s="243"/>
      <c r="W253" s="30"/>
      <c r="X253" s="30"/>
      <c r="Y253" s="30"/>
      <c r="Z253" s="30"/>
      <c r="AA253" s="30"/>
      <c r="AB253" s="30"/>
      <c r="AC253" s="31"/>
      <c r="AD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</row>
    <row r="254" spans="2:48" ht="12.75" hidden="1">
      <c r="B254" t="s">
        <v>138</v>
      </c>
      <c r="C254" s="187" t="s">
        <v>139</v>
      </c>
      <c r="D254" s="191">
        <v>0.01</v>
      </c>
      <c r="E254" s="272"/>
      <c r="F254" s="272"/>
      <c r="G254" s="330">
        <v>0.01</v>
      </c>
      <c r="H254" s="83"/>
      <c r="I254" s="12"/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0.005</v>
      </c>
      <c r="T254" s="154">
        <f t="shared" si="19"/>
        <v>0</v>
      </c>
      <c r="U254" s="155"/>
      <c r="V254" s="243"/>
      <c r="W254" s="30"/>
      <c r="X254" s="30"/>
      <c r="Y254" s="30"/>
      <c r="Z254" s="30"/>
      <c r="AA254" s="30"/>
      <c r="AB254" s="30"/>
      <c r="AC254" s="31"/>
      <c r="AD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</row>
    <row r="255" spans="2:48" ht="12.75" hidden="1">
      <c r="B255" t="s">
        <v>140</v>
      </c>
      <c r="C255" s="187" t="s">
        <v>141</v>
      </c>
      <c r="D255" s="191">
        <v>0.009</v>
      </c>
      <c r="E255" s="272"/>
      <c r="F255" s="272"/>
      <c r="G255" s="330">
        <v>0</v>
      </c>
      <c r="H255" s="83"/>
      <c r="I255" s="12"/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0.009</v>
      </c>
      <c r="T255" s="154">
        <f t="shared" si="19"/>
        <v>0</v>
      </c>
      <c r="U255" s="155"/>
      <c r="V255" s="243"/>
      <c r="W255" s="30"/>
      <c r="X255" s="30"/>
      <c r="Y255" s="30"/>
      <c r="Z255" s="30"/>
      <c r="AA255" s="30"/>
      <c r="AB255" s="30"/>
      <c r="AC255" s="31"/>
      <c r="AD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</row>
    <row r="256" spans="2:48" ht="12.75" hidden="1">
      <c r="B256" t="s">
        <v>142</v>
      </c>
      <c r="C256" s="187" t="s">
        <v>143</v>
      </c>
      <c r="D256" s="191">
        <v>0</v>
      </c>
      <c r="E256" s="272"/>
      <c r="F256" s="272"/>
      <c r="G256" s="330">
        <v>0</v>
      </c>
      <c r="H256" s="83"/>
      <c r="I256" s="12"/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54">
        <f t="shared" si="19"/>
        <v>0</v>
      </c>
      <c r="U256" s="155"/>
      <c r="V256" s="243"/>
      <c r="W256" s="30"/>
      <c r="X256" s="30"/>
      <c r="Y256" s="30"/>
      <c r="Z256" s="30"/>
      <c r="AA256" s="30"/>
      <c r="AB256" s="30"/>
      <c r="AC256" s="31"/>
      <c r="AD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</row>
    <row r="257" spans="2:48" ht="12.75" hidden="1">
      <c r="B257" t="s">
        <v>144</v>
      </c>
      <c r="C257" s="187" t="s">
        <v>145</v>
      </c>
      <c r="D257" s="191">
        <v>0.018</v>
      </c>
      <c r="E257" s="272"/>
      <c r="F257" s="272"/>
      <c r="G257" s="330">
        <v>0.002</v>
      </c>
      <c r="H257" s="83"/>
      <c r="I257" s="12"/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0.018</v>
      </c>
      <c r="T257" s="154">
        <f t="shared" si="19"/>
        <v>0</v>
      </c>
      <c r="U257" s="155"/>
      <c r="V257" s="243"/>
      <c r="W257" s="30"/>
      <c r="X257" s="30"/>
      <c r="Y257" s="30"/>
      <c r="Z257" s="30"/>
      <c r="AA257" s="30"/>
      <c r="AB257" s="30"/>
      <c r="AC257" s="31"/>
      <c r="AD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</row>
    <row r="258" spans="2:48" ht="12.75" hidden="1">
      <c r="B258" t="s">
        <v>146</v>
      </c>
      <c r="C258" s="187" t="s">
        <v>147</v>
      </c>
      <c r="D258" s="191">
        <v>0.003</v>
      </c>
      <c r="E258" s="272"/>
      <c r="F258" s="272"/>
      <c r="G258" s="330">
        <v>0.003</v>
      </c>
      <c r="H258" s="83"/>
      <c r="I258" s="12"/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0.003</v>
      </c>
      <c r="T258" s="154">
        <f t="shared" si="19"/>
        <v>0</v>
      </c>
      <c r="U258" s="155"/>
      <c r="V258" s="243"/>
      <c r="W258" s="30"/>
      <c r="X258" s="30"/>
      <c r="Y258" s="30"/>
      <c r="Z258" s="30"/>
      <c r="AA258" s="30"/>
      <c r="AB258" s="30"/>
      <c r="AC258" s="31"/>
      <c r="AD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</row>
    <row r="259" spans="2:48" ht="12.75" hidden="1">
      <c r="B259" t="s">
        <v>148</v>
      </c>
      <c r="C259" s="187" t="s">
        <v>149</v>
      </c>
      <c r="D259" s="191">
        <v>0.023</v>
      </c>
      <c r="E259" s="272"/>
      <c r="F259" s="272"/>
      <c r="G259" s="330">
        <v>0.005</v>
      </c>
      <c r="H259" s="83"/>
      <c r="I259" s="12"/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0.023</v>
      </c>
      <c r="T259" s="154">
        <f t="shared" si="19"/>
        <v>0</v>
      </c>
      <c r="U259" s="155"/>
      <c r="V259" s="243"/>
      <c r="W259" s="30"/>
      <c r="X259" s="30"/>
      <c r="Y259" s="30"/>
      <c r="Z259" s="30"/>
      <c r="AA259" s="30"/>
      <c r="AB259" s="30"/>
      <c r="AC259" s="31"/>
      <c r="AD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</row>
    <row r="260" spans="2:48" ht="12.75" hidden="1">
      <c r="B260" t="s">
        <v>150</v>
      </c>
      <c r="C260" s="187" t="s">
        <v>151</v>
      </c>
      <c r="D260" s="191">
        <v>0.019</v>
      </c>
      <c r="E260" s="272"/>
      <c r="F260" s="272"/>
      <c r="G260" s="330">
        <v>0.001</v>
      </c>
      <c r="H260" s="83"/>
      <c r="I260" s="12"/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0.006</v>
      </c>
      <c r="S260" s="12">
        <v>0.013</v>
      </c>
      <c r="T260" s="154">
        <f t="shared" si="19"/>
        <v>0</v>
      </c>
      <c r="U260" s="155"/>
      <c r="V260" s="243"/>
      <c r="W260" s="30"/>
      <c r="X260" s="30"/>
      <c r="Y260" s="30"/>
      <c r="Z260" s="30"/>
      <c r="AA260" s="30"/>
      <c r="AB260" s="30"/>
      <c r="AC260" s="31"/>
      <c r="AD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</row>
    <row r="261" spans="2:48" ht="12.75" hidden="1">
      <c r="B261" t="s">
        <v>152</v>
      </c>
      <c r="C261" s="187" t="s">
        <v>153</v>
      </c>
      <c r="D261" s="191">
        <v>0.047</v>
      </c>
      <c r="E261" s="272"/>
      <c r="F261" s="272"/>
      <c r="G261" s="330">
        <v>0.022</v>
      </c>
      <c r="H261" s="83"/>
      <c r="I261" s="12"/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0.044</v>
      </c>
      <c r="T261" s="154">
        <f t="shared" si="19"/>
        <v>0</v>
      </c>
      <c r="U261" s="155"/>
      <c r="V261" s="243"/>
      <c r="W261" s="30"/>
      <c r="X261" s="30"/>
      <c r="Y261" s="30"/>
      <c r="Z261" s="30"/>
      <c r="AA261" s="30"/>
      <c r="AB261" s="30"/>
      <c r="AC261" s="31"/>
      <c r="AD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</row>
    <row r="262" spans="2:48" ht="12.75" hidden="1">
      <c r="B262" t="s">
        <v>154</v>
      </c>
      <c r="C262" s="187" t="s">
        <v>155</v>
      </c>
      <c r="D262" s="191">
        <v>1.03</v>
      </c>
      <c r="E262" s="272"/>
      <c r="F262" s="272"/>
      <c r="G262" s="330">
        <v>0.504</v>
      </c>
      <c r="H262" s="83">
        <v>0.153</v>
      </c>
      <c r="I262" s="12"/>
      <c r="J262" s="12">
        <v>0.004</v>
      </c>
      <c r="K262" s="12">
        <v>0.109</v>
      </c>
      <c r="L262" s="12">
        <v>0.114</v>
      </c>
      <c r="M262" s="12">
        <v>0.114</v>
      </c>
      <c r="N262" s="12">
        <v>0.132</v>
      </c>
      <c r="O262" s="12">
        <v>0.099</v>
      </c>
      <c r="P262" s="12">
        <v>0.084</v>
      </c>
      <c r="Q262" s="12">
        <v>0.079</v>
      </c>
      <c r="R262" s="12">
        <v>0.084</v>
      </c>
      <c r="S262" s="12">
        <v>0.054</v>
      </c>
      <c r="T262" s="154">
        <f t="shared" si="19"/>
        <v>0.38</v>
      </c>
      <c r="U262" s="155"/>
      <c r="V262" s="243"/>
      <c r="W262" s="30"/>
      <c r="X262" s="30"/>
      <c r="Y262" s="30"/>
      <c r="Z262" s="30"/>
      <c r="AA262" s="30"/>
      <c r="AB262" s="30"/>
      <c r="AC262" s="31"/>
      <c r="AD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</row>
    <row r="263" spans="1:48" ht="12.75">
      <c r="A263" s="27" t="s">
        <v>767</v>
      </c>
      <c r="B263" s="181" t="s">
        <v>858</v>
      </c>
      <c r="C263" s="187" t="s">
        <v>483</v>
      </c>
      <c r="D263" s="191">
        <f>SUM(D264:D287)</f>
        <v>0.22300000000000003</v>
      </c>
      <c r="E263" s="272"/>
      <c r="F263" s="272"/>
      <c r="G263" s="330">
        <f>SUM(G264:G287)</f>
        <v>0.118</v>
      </c>
      <c r="H263" s="80">
        <f>SUM(H264:H287)</f>
        <v>0.017</v>
      </c>
      <c r="I263" s="80">
        <f>SUM(I264:I287)</f>
        <v>0</v>
      </c>
      <c r="J263" s="80">
        <f aca="true" t="shared" si="22" ref="J263:S263">SUM(J264:J287)</f>
        <v>0</v>
      </c>
      <c r="K263" s="80">
        <f t="shared" si="22"/>
        <v>0.018</v>
      </c>
      <c r="L263" s="80">
        <f t="shared" si="22"/>
        <v>0</v>
      </c>
      <c r="M263" s="80">
        <f t="shared" si="22"/>
        <v>0.013</v>
      </c>
      <c r="N263" s="80">
        <f t="shared" si="22"/>
        <v>0</v>
      </c>
      <c r="O263" s="80">
        <f t="shared" si="22"/>
        <v>0.003</v>
      </c>
      <c r="P263" s="80">
        <f t="shared" si="22"/>
        <v>0</v>
      </c>
      <c r="Q263" s="80">
        <f t="shared" si="22"/>
        <v>0</v>
      </c>
      <c r="R263" s="80">
        <f t="shared" si="22"/>
        <v>0</v>
      </c>
      <c r="S263" s="80">
        <f t="shared" si="22"/>
        <v>0.154</v>
      </c>
      <c r="T263" s="154">
        <f t="shared" si="19"/>
        <v>0.035</v>
      </c>
      <c r="U263" s="155"/>
      <c r="V263" s="243"/>
      <c r="W263" s="30"/>
      <c r="X263" s="30"/>
      <c r="Y263" s="30"/>
      <c r="Z263" s="30"/>
      <c r="AA263" s="30"/>
      <c r="AB263" s="30"/>
      <c r="AC263" s="31"/>
      <c r="AD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</row>
    <row r="264" spans="2:48" ht="12.75" hidden="1">
      <c r="B264" t="s">
        <v>156</v>
      </c>
      <c r="C264" s="187" t="s">
        <v>162</v>
      </c>
      <c r="D264" s="191">
        <v>0.004</v>
      </c>
      <c r="E264" s="272"/>
      <c r="F264" s="272"/>
      <c r="G264" s="330">
        <v>0</v>
      </c>
      <c r="H264" s="83"/>
      <c r="I264" s="12"/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0.004</v>
      </c>
      <c r="T264" s="154">
        <f t="shared" si="19"/>
        <v>0</v>
      </c>
      <c r="U264" s="155"/>
      <c r="V264" s="243"/>
      <c r="W264" s="30"/>
      <c r="X264" s="30"/>
      <c r="Y264" s="30"/>
      <c r="Z264" s="30"/>
      <c r="AA264" s="30"/>
      <c r="AB264" s="30"/>
      <c r="AC264" s="31"/>
      <c r="AD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</row>
    <row r="265" spans="2:48" ht="12.75" hidden="1">
      <c r="B265" t="s">
        <v>163</v>
      </c>
      <c r="C265" s="187" t="s">
        <v>164</v>
      </c>
      <c r="D265" s="191">
        <v>0</v>
      </c>
      <c r="E265" s="272"/>
      <c r="F265" s="272"/>
      <c r="G265" s="330">
        <v>0</v>
      </c>
      <c r="H265" s="83"/>
      <c r="I265" s="12"/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54">
        <f t="shared" si="19"/>
        <v>0</v>
      </c>
      <c r="U265" s="155"/>
      <c r="V265" s="243"/>
      <c r="W265" s="30"/>
      <c r="X265" s="30"/>
      <c r="Y265" s="30"/>
      <c r="Z265" s="30"/>
      <c r="AA265" s="30"/>
      <c r="AB265" s="30"/>
      <c r="AC265" s="31"/>
      <c r="AD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</row>
    <row r="266" spans="2:48" ht="12.75" hidden="1">
      <c r="B266" t="s">
        <v>165</v>
      </c>
      <c r="C266" s="187" t="s">
        <v>166</v>
      </c>
      <c r="D266" s="191">
        <v>0</v>
      </c>
      <c r="E266" s="272"/>
      <c r="F266" s="272"/>
      <c r="G266" s="330">
        <v>0</v>
      </c>
      <c r="H266" s="83"/>
      <c r="I266" s="12"/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54">
        <f t="shared" si="19"/>
        <v>0</v>
      </c>
      <c r="U266" s="155"/>
      <c r="V266" s="243"/>
      <c r="W266" s="30"/>
      <c r="X266" s="30"/>
      <c r="Y266" s="30"/>
      <c r="Z266" s="30"/>
      <c r="AA266" s="30"/>
      <c r="AB266" s="30"/>
      <c r="AC266" s="31"/>
      <c r="AD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</row>
    <row r="267" spans="2:48" ht="12.75" hidden="1">
      <c r="B267" t="s">
        <v>167</v>
      </c>
      <c r="C267" s="187" t="s">
        <v>168</v>
      </c>
      <c r="D267" s="191">
        <v>0</v>
      </c>
      <c r="E267" s="272"/>
      <c r="F267" s="272"/>
      <c r="G267" s="330">
        <v>0</v>
      </c>
      <c r="H267" s="83"/>
      <c r="I267" s="12"/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54">
        <f t="shared" si="19"/>
        <v>0</v>
      </c>
      <c r="U267" s="155"/>
      <c r="V267" s="243"/>
      <c r="W267" s="30"/>
      <c r="X267" s="30"/>
      <c r="Y267" s="30"/>
      <c r="Z267" s="30"/>
      <c r="AA267" s="30"/>
      <c r="AB267" s="30"/>
      <c r="AC267" s="31"/>
      <c r="AD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</row>
    <row r="268" spans="2:48" ht="12.75" hidden="1">
      <c r="B268" t="s">
        <v>169</v>
      </c>
      <c r="C268" s="187" t="s">
        <v>170</v>
      </c>
      <c r="D268" s="191">
        <v>0</v>
      </c>
      <c r="E268" s="272"/>
      <c r="F268" s="272"/>
      <c r="G268" s="330">
        <v>0</v>
      </c>
      <c r="H268" s="83"/>
      <c r="I268" s="12"/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54">
        <f t="shared" si="19"/>
        <v>0</v>
      </c>
      <c r="U268" s="155"/>
      <c r="V268" s="243"/>
      <c r="W268" s="30"/>
      <c r="X268" s="30"/>
      <c r="Y268" s="30"/>
      <c r="Z268" s="30"/>
      <c r="AA268" s="30"/>
      <c r="AB268" s="30"/>
      <c r="AC268" s="31"/>
      <c r="AD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</row>
    <row r="269" spans="2:48" ht="12.75" hidden="1">
      <c r="B269" t="s">
        <v>171</v>
      </c>
      <c r="C269" s="187" t="s">
        <v>172</v>
      </c>
      <c r="D269" s="191">
        <v>0</v>
      </c>
      <c r="E269" s="272"/>
      <c r="F269" s="272"/>
      <c r="G269" s="330">
        <v>0</v>
      </c>
      <c r="H269" s="83"/>
      <c r="I269" s="12"/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54">
        <f t="shared" si="19"/>
        <v>0</v>
      </c>
      <c r="U269" s="155"/>
      <c r="V269" s="243"/>
      <c r="W269" s="30"/>
      <c r="X269" s="30"/>
      <c r="Y269" s="30"/>
      <c r="Z269" s="30"/>
      <c r="AA269" s="30"/>
      <c r="AB269" s="30"/>
      <c r="AC269" s="31"/>
      <c r="AD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</row>
    <row r="270" spans="2:48" ht="12.75" hidden="1">
      <c r="B270" t="s">
        <v>173</v>
      </c>
      <c r="C270" s="187" t="s">
        <v>174</v>
      </c>
      <c r="D270" s="191">
        <v>0.001</v>
      </c>
      <c r="E270" s="272"/>
      <c r="F270" s="272"/>
      <c r="G270" s="330">
        <v>0</v>
      </c>
      <c r="H270" s="83"/>
      <c r="I270" s="12"/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0.001</v>
      </c>
      <c r="T270" s="154">
        <f t="shared" si="19"/>
        <v>0</v>
      </c>
      <c r="U270" s="155"/>
      <c r="V270" s="243"/>
      <c r="W270" s="30"/>
      <c r="X270" s="30"/>
      <c r="Y270" s="30"/>
      <c r="Z270" s="30"/>
      <c r="AA270" s="30"/>
      <c r="AB270" s="30"/>
      <c r="AC270" s="31"/>
      <c r="AD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</row>
    <row r="271" spans="2:48" ht="12.75" hidden="1">
      <c r="B271" t="s">
        <v>175</v>
      </c>
      <c r="C271" s="187" t="s">
        <v>176</v>
      </c>
      <c r="D271" s="191">
        <v>0.013</v>
      </c>
      <c r="E271" s="272"/>
      <c r="F271" s="272"/>
      <c r="G271" s="330">
        <v>0.001</v>
      </c>
      <c r="H271" s="83"/>
      <c r="I271" s="12"/>
      <c r="J271" s="12">
        <v>0</v>
      </c>
      <c r="K271" s="12">
        <v>0</v>
      </c>
      <c r="L271" s="12">
        <v>0</v>
      </c>
      <c r="M271" s="12">
        <v>0.013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0.001</v>
      </c>
      <c r="T271" s="154">
        <f t="shared" si="19"/>
        <v>0</v>
      </c>
      <c r="U271" s="155"/>
      <c r="V271" s="243"/>
      <c r="W271" s="30"/>
      <c r="X271" s="30"/>
      <c r="Y271" s="30"/>
      <c r="Z271" s="30"/>
      <c r="AA271" s="30"/>
      <c r="AB271" s="30"/>
      <c r="AC271" s="31"/>
      <c r="AD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</row>
    <row r="272" spans="2:48" ht="12.75" hidden="1">
      <c r="B272" t="s">
        <v>177</v>
      </c>
      <c r="C272" s="187" t="s">
        <v>178</v>
      </c>
      <c r="D272" s="191">
        <v>0.045</v>
      </c>
      <c r="E272" s="272"/>
      <c r="F272" s="272"/>
      <c r="G272" s="330">
        <v>0</v>
      </c>
      <c r="H272" s="83"/>
      <c r="I272" s="12"/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0.045</v>
      </c>
      <c r="T272" s="154">
        <f t="shared" si="19"/>
        <v>0</v>
      </c>
      <c r="U272" s="155"/>
      <c r="V272" s="243"/>
      <c r="W272" s="30"/>
      <c r="X272" s="30"/>
      <c r="Y272" s="30"/>
      <c r="Z272" s="30"/>
      <c r="AA272" s="30"/>
      <c r="AB272" s="30"/>
      <c r="AC272" s="31"/>
      <c r="AD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</row>
    <row r="273" spans="2:48" ht="12.75" hidden="1">
      <c r="B273" t="s">
        <v>179</v>
      </c>
      <c r="C273" s="187" t="s">
        <v>180</v>
      </c>
      <c r="D273" s="191">
        <v>0.007</v>
      </c>
      <c r="E273" s="272"/>
      <c r="F273" s="272"/>
      <c r="G273" s="330">
        <v>0</v>
      </c>
      <c r="H273" s="83"/>
      <c r="I273" s="12"/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0.007</v>
      </c>
      <c r="T273" s="154">
        <f t="shared" si="19"/>
        <v>0</v>
      </c>
      <c r="U273" s="155"/>
      <c r="V273" s="243"/>
      <c r="W273" s="30"/>
      <c r="X273" s="30"/>
      <c r="Y273" s="30"/>
      <c r="Z273" s="30"/>
      <c r="AA273" s="30"/>
      <c r="AB273" s="30"/>
      <c r="AC273" s="31"/>
      <c r="AD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</row>
    <row r="274" spans="2:48" ht="12.75" hidden="1">
      <c r="B274" t="s">
        <v>181</v>
      </c>
      <c r="C274" s="187" t="s">
        <v>182</v>
      </c>
      <c r="D274" s="191">
        <v>0</v>
      </c>
      <c r="E274" s="272"/>
      <c r="F274" s="272"/>
      <c r="G274" s="330">
        <v>0</v>
      </c>
      <c r="H274" s="83"/>
      <c r="I274" s="12"/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54">
        <f t="shared" si="19"/>
        <v>0</v>
      </c>
      <c r="U274" s="155"/>
      <c r="V274" s="243"/>
      <c r="W274" s="30"/>
      <c r="X274" s="30"/>
      <c r="Y274" s="30"/>
      <c r="Z274" s="30"/>
      <c r="AA274" s="30"/>
      <c r="AB274" s="30"/>
      <c r="AC274" s="31"/>
      <c r="AD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</row>
    <row r="275" spans="2:48" ht="12.75" hidden="1">
      <c r="B275" t="s">
        <v>183</v>
      </c>
      <c r="C275" s="187" t="s">
        <v>268</v>
      </c>
      <c r="D275" s="191">
        <v>0.016</v>
      </c>
      <c r="E275" s="272"/>
      <c r="F275" s="272"/>
      <c r="G275" s="330">
        <v>0</v>
      </c>
      <c r="H275" s="83"/>
      <c r="I275" s="12"/>
      <c r="J275" s="12">
        <v>0</v>
      </c>
      <c r="K275" s="12">
        <v>0.015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0.001</v>
      </c>
      <c r="T275" s="154">
        <f t="shared" si="19"/>
        <v>0.015</v>
      </c>
      <c r="U275" s="155"/>
      <c r="V275" s="243"/>
      <c r="W275" s="30"/>
      <c r="X275" s="30"/>
      <c r="Y275" s="30"/>
      <c r="Z275" s="30"/>
      <c r="AA275" s="30"/>
      <c r="AB275" s="30"/>
      <c r="AC275" s="31"/>
      <c r="AD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</row>
    <row r="276" spans="2:48" ht="12.75" hidden="1">
      <c r="B276" t="s">
        <v>269</v>
      </c>
      <c r="C276" s="187" t="s">
        <v>270</v>
      </c>
      <c r="D276" s="191">
        <v>0</v>
      </c>
      <c r="E276" s="272"/>
      <c r="F276" s="272"/>
      <c r="G276" s="330">
        <v>0</v>
      </c>
      <c r="H276" s="83"/>
      <c r="I276" s="12"/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0.001</v>
      </c>
      <c r="T276" s="154">
        <f t="shared" si="19"/>
        <v>0</v>
      </c>
      <c r="U276" s="155"/>
      <c r="V276" s="243"/>
      <c r="W276" s="30"/>
      <c r="X276" s="30"/>
      <c r="Y276" s="30"/>
      <c r="Z276" s="30"/>
      <c r="AA276" s="30"/>
      <c r="AB276" s="30"/>
      <c r="AC276" s="31"/>
      <c r="AD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</row>
    <row r="277" spans="2:48" ht="12.75" hidden="1">
      <c r="B277" t="s">
        <v>271</v>
      </c>
      <c r="C277" s="187" t="s">
        <v>272</v>
      </c>
      <c r="D277" s="191">
        <v>0.003</v>
      </c>
      <c r="E277" s="272"/>
      <c r="F277" s="272"/>
      <c r="G277" s="330">
        <v>0</v>
      </c>
      <c r="H277" s="83"/>
      <c r="I277" s="12"/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0.003</v>
      </c>
      <c r="P277" s="12">
        <v>0</v>
      </c>
      <c r="Q277" s="12">
        <v>0</v>
      </c>
      <c r="R277" s="12">
        <v>0</v>
      </c>
      <c r="S277" s="12">
        <v>0</v>
      </c>
      <c r="T277" s="154">
        <f t="shared" si="19"/>
        <v>0</v>
      </c>
      <c r="U277" s="155"/>
      <c r="V277" s="243"/>
      <c r="W277" s="30"/>
      <c r="X277" s="30"/>
      <c r="Y277" s="30"/>
      <c r="Z277" s="30"/>
      <c r="AA277" s="30"/>
      <c r="AB277" s="30"/>
      <c r="AC277" s="31"/>
      <c r="AD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</row>
    <row r="278" spans="2:48" ht="12.75" hidden="1">
      <c r="B278" t="s">
        <v>273</v>
      </c>
      <c r="C278" s="187" t="s">
        <v>274</v>
      </c>
      <c r="D278" s="191">
        <v>0</v>
      </c>
      <c r="E278" s="272"/>
      <c r="F278" s="272"/>
      <c r="G278" s="330">
        <v>0</v>
      </c>
      <c r="H278" s="83"/>
      <c r="I278" s="12"/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54">
        <f t="shared" si="19"/>
        <v>0</v>
      </c>
      <c r="U278" s="155"/>
      <c r="V278" s="243"/>
      <c r="W278" s="30"/>
      <c r="X278" s="30"/>
      <c r="Y278" s="30"/>
      <c r="Z278" s="30"/>
      <c r="AA278" s="30"/>
      <c r="AB278" s="30"/>
      <c r="AC278" s="31"/>
      <c r="AD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</row>
    <row r="279" spans="2:48" ht="12.75" hidden="1">
      <c r="B279" t="s">
        <v>275</v>
      </c>
      <c r="C279" s="187" t="s">
        <v>276</v>
      </c>
      <c r="D279" s="191">
        <v>0.013</v>
      </c>
      <c r="E279" s="272"/>
      <c r="F279" s="272"/>
      <c r="G279" s="330">
        <v>0.012</v>
      </c>
      <c r="H279" s="83"/>
      <c r="I279" s="12"/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0.021</v>
      </c>
      <c r="T279" s="154">
        <f t="shared" si="19"/>
        <v>0</v>
      </c>
      <c r="U279" s="155"/>
      <c r="V279" s="243"/>
      <c r="W279" s="30"/>
      <c r="X279" s="30"/>
      <c r="Y279" s="30"/>
      <c r="Z279" s="30"/>
      <c r="AA279" s="30"/>
      <c r="AB279" s="30"/>
      <c r="AC279" s="31"/>
      <c r="AD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</row>
    <row r="280" spans="2:48" ht="12.75" hidden="1">
      <c r="B280" t="s">
        <v>277</v>
      </c>
      <c r="C280" s="187" t="s">
        <v>278</v>
      </c>
      <c r="D280" s="191">
        <v>0.043</v>
      </c>
      <c r="E280" s="272"/>
      <c r="F280" s="272"/>
      <c r="G280" s="330">
        <v>0.043</v>
      </c>
      <c r="H280" s="83">
        <v>0.017</v>
      </c>
      <c r="I280" s="12"/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0.008</v>
      </c>
      <c r="T280" s="154">
        <f aca="true" t="shared" si="23" ref="T280:T346">SUM(H280:L280)</f>
        <v>0.017</v>
      </c>
      <c r="U280" s="155"/>
      <c r="V280" s="243"/>
      <c r="W280" s="30"/>
      <c r="X280" s="30"/>
      <c r="Y280" s="30"/>
      <c r="Z280" s="30"/>
      <c r="AA280" s="30"/>
      <c r="AB280" s="30"/>
      <c r="AC280" s="31"/>
      <c r="AD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</row>
    <row r="281" spans="2:48" ht="12.75" hidden="1">
      <c r="B281" t="s">
        <v>279</v>
      </c>
      <c r="C281" s="187" t="s">
        <v>280</v>
      </c>
      <c r="D281" s="191">
        <v>0.003</v>
      </c>
      <c r="E281" s="272"/>
      <c r="F281" s="272"/>
      <c r="G281" s="330">
        <v>0</v>
      </c>
      <c r="H281" s="83"/>
      <c r="I281" s="12"/>
      <c r="J281" s="12">
        <v>0</v>
      </c>
      <c r="K281" s="12">
        <v>0.003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54">
        <f t="shared" si="23"/>
        <v>0.003</v>
      </c>
      <c r="U281" s="155"/>
      <c r="V281" s="243"/>
      <c r="W281" s="30"/>
      <c r="X281" s="30"/>
      <c r="Y281" s="30"/>
      <c r="Z281" s="30"/>
      <c r="AA281" s="30"/>
      <c r="AB281" s="30"/>
      <c r="AC281" s="31"/>
      <c r="AD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</row>
    <row r="282" spans="2:48" ht="12.75" hidden="1">
      <c r="B282" t="s">
        <v>281</v>
      </c>
      <c r="C282" s="187" t="s">
        <v>282</v>
      </c>
      <c r="D282" s="191">
        <v>0</v>
      </c>
      <c r="E282" s="272"/>
      <c r="F282" s="272"/>
      <c r="G282" s="330">
        <v>0</v>
      </c>
      <c r="H282" s="83"/>
      <c r="I282" s="12"/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54">
        <f t="shared" si="23"/>
        <v>0</v>
      </c>
      <c r="U282" s="155"/>
      <c r="V282" s="243"/>
      <c r="W282" s="30"/>
      <c r="X282" s="30"/>
      <c r="Y282" s="30"/>
      <c r="Z282" s="30"/>
      <c r="AA282" s="30"/>
      <c r="AB282" s="30"/>
      <c r="AC282" s="31"/>
      <c r="AD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</row>
    <row r="283" spans="2:48" ht="12.75" hidden="1">
      <c r="B283" t="s">
        <v>283</v>
      </c>
      <c r="C283" s="187" t="s">
        <v>284</v>
      </c>
      <c r="D283" s="191">
        <v>0.001</v>
      </c>
      <c r="E283" s="272"/>
      <c r="F283" s="272"/>
      <c r="G283" s="330">
        <v>0.001</v>
      </c>
      <c r="H283" s="83"/>
      <c r="I283" s="12"/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54">
        <f t="shared" si="23"/>
        <v>0</v>
      </c>
      <c r="U283" s="155"/>
      <c r="V283" s="243"/>
      <c r="W283" s="30"/>
      <c r="X283" s="30"/>
      <c r="Y283" s="30"/>
      <c r="Z283" s="30"/>
      <c r="AA283" s="30"/>
      <c r="AB283" s="30"/>
      <c r="AC283" s="31"/>
      <c r="AD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</row>
    <row r="284" spans="2:48" ht="12.75" hidden="1">
      <c r="B284" t="s">
        <v>285</v>
      </c>
      <c r="C284" s="187" t="s">
        <v>286</v>
      </c>
      <c r="D284" s="191">
        <v>0.011</v>
      </c>
      <c r="E284" s="272"/>
      <c r="F284" s="272"/>
      <c r="G284" s="330">
        <v>0.001</v>
      </c>
      <c r="H284" s="83"/>
      <c r="I284" s="12"/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0.011</v>
      </c>
      <c r="T284" s="154">
        <f t="shared" si="23"/>
        <v>0</v>
      </c>
      <c r="U284" s="155"/>
      <c r="V284" s="243"/>
      <c r="W284" s="30"/>
      <c r="X284" s="30"/>
      <c r="Y284" s="30"/>
      <c r="Z284" s="30"/>
      <c r="AA284" s="30"/>
      <c r="AB284" s="30"/>
      <c r="AC284" s="31"/>
      <c r="AD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</row>
    <row r="285" spans="2:48" ht="12.75" hidden="1">
      <c r="B285" t="s">
        <v>287</v>
      </c>
      <c r="C285" s="187" t="s">
        <v>288</v>
      </c>
      <c r="D285" s="191">
        <v>0.009</v>
      </c>
      <c r="E285" s="272"/>
      <c r="F285" s="272"/>
      <c r="G285" s="330">
        <v>0.009</v>
      </c>
      <c r="H285" s="83"/>
      <c r="I285" s="12"/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54">
        <f t="shared" si="23"/>
        <v>0</v>
      </c>
      <c r="U285" s="155"/>
      <c r="V285" s="243"/>
      <c r="W285" s="30"/>
      <c r="X285" s="30"/>
      <c r="Y285" s="30"/>
      <c r="Z285" s="30"/>
      <c r="AA285" s="30"/>
      <c r="AB285" s="30"/>
      <c r="AC285" s="31"/>
      <c r="AD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</row>
    <row r="286" spans="2:48" ht="12.75" hidden="1">
      <c r="B286" t="s">
        <v>289</v>
      </c>
      <c r="C286" s="187" t="s">
        <v>290</v>
      </c>
      <c r="D286" s="191">
        <v>0.001</v>
      </c>
      <c r="E286" s="272"/>
      <c r="F286" s="272"/>
      <c r="G286" s="330">
        <v>0</v>
      </c>
      <c r="H286" s="83"/>
      <c r="I286" s="12"/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0.001</v>
      </c>
      <c r="T286" s="154">
        <f t="shared" si="23"/>
        <v>0</v>
      </c>
      <c r="U286" s="155"/>
      <c r="V286" s="243"/>
      <c r="W286" s="30"/>
      <c r="X286" s="30"/>
      <c r="Y286" s="30"/>
      <c r="Z286" s="30"/>
      <c r="AA286" s="30"/>
      <c r="AB286" s="30"/>
      <c r="AC286" s="31"/>
      <c r="AD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</row>
    <row r="287" spans="2:48" ht="12.75" hidden="1">
      <c r="B287" t="s">
        <v>291</v>
      </c>
      <c r="C287" s="187" t="s">
        <v>292</v>
      </c>
      <c r="D287" s="191">
        <v>0.053</v>
      </c>
      <c r="E287" s="272"/>
      <c r="F287" s="272"/>
      <c r="G287" s="330">
        <v>0.051</v>
      </c>
      <c r="H287" s="83"/>
      <c r="I287" s="12"/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0.053</v>
      </c>
      <c r="T287" s="154">
        <f t="shared" si="23"/>
        <v>0</v>
      </c>
      <c r="U287" s="155"/>
      <c r="V287" s="243"/>
      <c r="W287" s="30"/>
      <c r="X287" s="30"/>
      <c r="Y287" s="30"/>
      <c r="Z287" s="30"/>
      <c r="AA287" s="30"/>
      <c r="AB287" s="30"/>
      <c r="AC287" s="31"/>
      <c r="AD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</row>
    <row r="288" spans="1:48" ht="12.75">
      <c r="A288" s="27" t="s">
        <v>484</v>
      </c>
      <c r="B288" s="181" t="s">
        <v>858</v>
      </c>
      <c r="C288" s="187" t="s">
        <v>485</v>
      </c>
      <c r="D288" s="191">
        <f>SUM(D289:D316)</f>
        <v>0.795</v>
      </c>
      <c r="E288" s="272"/>
      <c r="F288" s="272"/>
      <c r="G288" s="330">
        <f>SUM(G289:G316)</f>
        <v>0.169</v>
      </c>
      <c r="H288" s="80">
        <f>SUM(H289:H316)</f>
        <v>0</v>
      </c>
      <c r="I288" s="80">
        <f>SUM(I289:I316)</f>
        <v>0</v>
      </c>
      <c r="J288" s="80">
        <f aca="true" t="shared" si="24" ref="J288:S288">SUM(J289:J316)</f>
        <v>0.12300000000000001</v>
      </c>
      <c r="K288" s="80">
        <f t="shared" si="24"/>
        <v>0</v>
      </c>
      <c r="L288" s="80">
        <f t="shared" si="24"/>
        <v>0.1</v>
      </c>
      <c r="M288" s="80">
        <f t="shared" si="24"/>
        <v>0</v>
      </c>
      <c r="N288" s="80">
        <f t="shared" si="24"/>
        <v>0.1</v>
      </c>
      <c r="O288" s="80">
        <f t="shared" si="24"/>
        <v>0</v>
      </c>
      <c r="P288" s="80">
        <f t="shared" si="24"/>
        <v>0.1</v>
      </c>
      <c r="Q288" s="80">
        <f t="shared" si="24"/>
        <v>0</v>
      </c>
      <c r="R288" s="80">
        <f t="shared" si="24"/>
        <v>0.119</v>
      </c>
      <c r="S288" s="80">
        <f t="shared" si="24"/>
        <v>0.054</v>
      </c>
      <c r="T288" s="154">
        <f t="shared" si="23"/>
        <v>0.22300000000000003</v>
      </c>
      <c r="U288" s="155"/>
      <c r="V288" s="243"/>
      <c r="W288" s="30"/>
      <c r="X288" s="30"/>
      <c r="Y288" s="30"/>
      <c r="Z288" s="30"/>
      <c r="AA288" s="30"/>
      <c r="AB288" s="30"/>
      <c r="AC288" s="31"/>
      <c r="AD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</row>
    <row r="289" spans="2:48" ht="12.75" hidden="1">
      <c r="B289"/>
      <c r="C289" s="187" t="s">
        <v>294</v>
      </c>
      <c r="D289" s="191">
        <v>0</v>
      </c>
      <c r="E289" s="272"/>
      <c r="F289" s="272"/>
      <c r="G289" s="330">
        <v>0</v>
      </c>
      <c r="H289" s="83"/>
      <c r="I289" s="12"/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54">
        <f t="shared" si="23"/>
        <v>0</v>
      </c>
      <c r="U289" s="155"/>
      <c r="V289" s="243"/>
      <c r="W289" s="30"/>
      <c r="X289" s="30"/>
      <c r="Y289" s="30"/>
      <c r="Z289" s="30"/>
      <c r="AA289" s="30"/>
      <c r="AB289" s="30"/>
      <c r="AC289" s="31"/>
      <c r="AD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</row>
    <row r="290" spans="2:48" ht="12.75" hidden="1">
      <c r="B290"/>
      <c r="C290" s="187" t="s">
        <v>157</v>
      </c>
      <c r="D290" s="191">
        <v>0.022</v>
      </c>
      <c r="E290" s="272"/>
      <c r="F290" s="272"/>
      <c r="G290" s="330"/>
      <c r="H290" s="8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54"/>
      <c r="U290" s="155"/>
      <c r="V290" s="243"/>
      <c r="W290" s="30"/>
      <c r="X290" s="30"/>
      <c r="Y290" s="30"/>
      <c r="Z290" s="30"/>
      <c r="AA290" s="30"/>
      <c r="AB290" s="30"/>
      <c r="AC290" s="31"/>
      <c r="AD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</row>
    <row r="291" spans="2:48" ht="12.75" hidden="1">
      <c r="B291"/>
      <c r="C291" s="187" t="s">
        <v>158</v>
      </c>
      <c r="D291" s="191">
        <v>0.032</v>
      </c>
      <c r="E291" s="272"/>
      <c r="F291" s="272"/>
      <c r="G291" s="330"/>
      <c r="H291" s="8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54"/>
      <c r="U291" s="155"/>
      <c r="V291" s="243"/>
      <c r="W291" s="30"/>
      <c r="X291" s="30"/>
      <c r="Y291" s="30"/>
      <c r="Z291" s="30"/>
      <c r="AA291" s="30"/>
      <c r="AB291" s="30"/>
      <c r="AC291" s="31"/>
      <c r="AD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</row>
    <row r="292" spans="2:48" ht="12.75" hidden="1">
      <c r="B292" t="s">
        <v>295</v>
      </c>
      <c r="C292" s="187" t="s">
        <v>296</v>
      </c>
      <c r="D292" s="191">
        <v>0.2</v>
      </c>
      <c r="E292" s="272"/>
      <c r="F292" s="272"/>
      <c r="G292" s="330">
        <v>0</v>
      </c>
      <c r="H292" s="83"/>
      <c r="I292" s="12"/>
      <c r="J292" s="12">
        <v>0</v>
      </c>
      <c r="K292" s="12">
        <v>0</v>
      </c>
      <c r="L292" s="12">
        <v>0.1</v>
      </c>
      <c r="M292" s="12">
        <v>0</v>
      </c>
      <c r="N292" s="12">
        <v>0.1</v>
      </c>
      <c r="O292" s="12">
        <v>0</v>
      </c>
      <c r="P292" s="12">
        <v>0.1</v>
      </c>
      <c r="Q292" s="12">
        <v>0</v>
      </c>
      <c r="R292" s="12">
        <v>0.119</v>
      </c>
      <c r="S292" s="12">
        <v>0.054</v>
      </c>
      <c r="T292" s="154">
        <f t="shared" si="23"/>
        <v>0.1</v>
      </c>
      <c r="U292" s="155"/>
      <c r="V292" s="243"/>
      <c r="W292" s="30"/>
      <c r="X292" s="30"/>
      <c r="Y292" s="30"/>
      <c r="Z292" s="30"/>
      <c r="AA292" s="30"/>
      <c r="AB292" s="30"/>
      <c r="AC292" s="31"/>
      <c r="AD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</row>
    <row r="293" spans="2:48" ht="12.75" hidden="1">
      <c r="B293" t="s">
        <v>297</v>
      </c>
      <c r="C293" s="187" t="s">
        <v>298</v>
      </c>
      <c r="D293" s="191">
        <v>0</v>
      </c>
      <c r="E293" s="272"/>
      <c r="F293" s="272"/>
      <c r="G293" s="330">
        <v>0</v>
      </c>
      <c r="H293" s="83"/>
      <c r="I293" s="12"/>
      <c r="J293" s="12">
        <v>0.035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54">
        <f t="shared" si="23"/>
        <v>0.035</v>
      </c>
      <c r="U293" s="155"/>
      <c r="V293" s="243"/>
      <c r="W293" s="30"/>
      <c r="X293" s="30"/>
      <c r="Y293" s="30"/>
      <c r="Z293" s="30"/>
      <c r="AA293" s="30"/>
      <c r="AB293" s="30"/>
      <c r="AC293" s="31"/>
      <c r="AD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</row>
    <row r="294" spans="2:48" ht="12.75" hidden="1">
      <c r="B294" t="s">
        <v>299</v>
      </c>
      <c r="C294" s="187" t="s">
        <v>300</v>
      </c>
      <c r="D294" s="191">
        <v>0.003</v>
      </c>
      <c r="E294" s="272"/>
      <c r="F294" s="272"/>
      <c r="G294" s="330">
        <v>0.003</v>
      </c>
      <c r="H294" s="83"/>
      <c r="I294" s="12"/>
      <c r="J294" s="12">
        <v>0.003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54">
        <f t="shared" si="23"/>
        <v>0.003</v>
      </c>
      <c r="U294" s="155"/>
      <c r="V294" s="243"/>
      <c r="W294" s="30"/>
      <c r="X294" s="30"/>
      <c r="Y294" s="30"/>
      <c r="Z294" s="30"/>
      <c r="AA294" s="30"/>
      <c r="AB294" s="30"/>
      <c r="AC294" s="31"/>
      <c r="AD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</row>
    <row r="295" spans="2:48" ht="12.75" hidden="1">
      <c r="B295" t="s">
        <v>301</v>
      </c>
      <c r="C295" s="187" t="s">
        <v>302</v>
      </c>
      <c r="D295" s="191">
        <v>0.009</v>
      </c>
      <c r="E295" s="272"/>
      <c r="F295" s="272"/>
      <c r="G295" s="330">
        <v>0.009</v>
      </c>
      <c r="H295" s="83"/>
      <c r="I295" s="12"/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54">
        <f t="shared" si="23"/>
        <v>0</v>
      </c>
      <c r="U295" s="155"/>
      <c r="V295" s="243"/>
      <c r="W295" s="30"/>
      <c r="X295" s="30"/>
      <c r="Y295" s="30"/>
      <c r="Z295" s="30"/>
      <c r="AA295" s="30"/>
      <c r="AB295" s="30"/>
      <c r="AC295" s="31"/>
      <c r="AD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</row>
    <row r="296" spans="2:48" ht="12.75" hidden="1">
      <c r="B296" t="s">
        <v>303</v>
      </c>
      <c r="C296" s="187" t="s">
        <v>304</v>
      </c>
      <c r="D296" s="191">
        <v>0.122</v>
      </c>
      <c r="E296" s="272"/>
      <c r="F296" s="272"/>
      <c r="G296" s="330">
        <v>0.104</v>
      </c>
      <c r="H296" s="83"/>
      <c r="I296" s="12"/>
      <c r="J296" s="12">
        <v>0.034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54">
        <f t="shared" si="23"/>
        <v>0.034</v>
      </c>
      <c r="U296" s="155"/>
      <c r="V296" s="243"/>
      <c r="W296" s="30"/>
      <c r="X296" s="30"/>
      <c r="Y296" s="30"/>
      <c r="Z296" s="30"/>
      <c r="AA296" s="30"/>
      <c r="AB296" s="30"/>
      <c r="AC296" s="31"/>
      <c r="AD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</row>
    <row r="297" spans="2:48" ht="12.75" hidden="1">
      <c r="B297" t="s">
        <v>305</v>
      </c>
      <c r="C297" s="187" t="s">
        <v>306</v>
      </c>
      <c r="D297" s="191">
        <v>0.006</v>
      </c>
      <c r="E297" s="272"/>
      <c r="F297" s="272"/>
      <c r="G297" s="330">
        <v>0.006</v>
      </c>
      <c r="H297" s="83"/>
      <c r="I297" s="12"/>
      <c r="J297" s="12">
        <v>0.005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54">
        <f t="shared" si="23"/>
        <v>0.005</v>
      </c>
      <c r="U297" s="155"/>
      <c r="V297" s="243"/>
      <c r="W297" s="30"/>
      <c r="X297" s="30"/>
      <c r="Y297" s="30"/>
      <c r="Z297" s="30"/>
      <c r="AA297" s="30"/>
      <c r="AB297" s="30"/>
      <c r="AC297" s="31"/>
      <c r="AD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</row>
    <row r="298" spans="2:48" ht="12.75" hidden="1">
      <c r="B298" t="s">
        <v>307</v>
      </c>
      <c r="C298" s="187" t="s">
        <v>308</v>
      </c>
      <c r="D298" s="191">
        <v>0</v>
      </c>
      <c r="E298" s="272"/>
      <c r="F298" s="272"/>
      <c r="G298" s="330">
        <v>0</v>
      </c>
      <c r="H298" s="83"/>
      <c r="I298" s="12"/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54">
        <f t="shared" si="23"/>
        <v>0</v>
      </c>
      <c r="U298" s="155"/>
      <c r="V298" s="243"/>
      <c r="W298" s="30"/>
      <c r="X298" s="30"/>
      <c r="Y298" s="30"/>
      <c r="Z298" s="30"/>
      <c r="AA298" s="30"/>
      <c r="AB298" s="30"/>
      <c r="AC298" s="31"/>
      <c r="AD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</row>
    <row r="299" spans="2:48" ht="12.75" hidden="1">
      <c r="B299" t="s">
        <v>309</v>
      </c>
      <c r="C299" s="187" t="s">
        <v>310</v>
      </c>
      <c r="D299" s="191">
        <v>0</v>
      </c>
      <c r="E299" s="272"/>
      <c r="F299" s="272"/>
      <c r="G299" s="330">
        <v>0</v>
      </c>
      <c r="H299" s="83"/>
      <c r="I299" s="12"/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54">
        <f t="shared" si="23"/>
        <v>0</v>
      </c>
      <c r="U299" s="155"/>
      <c r="V299" s="243"/>
      <c r="W299" s="30"/>
      <c r="X299" s="30"/>
      <c r="Y299" s="30"/>
      <c r="Z299" s="30"/>
      <c r="AA299" s="30"/>
      <c r="AB299" s="30"/>
      <c r="AC299" s="31"/>
      <c r="AD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</row>
    <row r="300" spans="2:48" ht="12.75" hidden="1">
      <c r="B300" t="s">
        <v>311</v>
      </c>
      <c r="C300" s="187" t="s">
        <v>312</v>
      </c>
      <c r="D300" s="191">
        <v>0</v>
      </c>
      <c r="E300" s="272"/>
      <c r="F300" s="272"/>
      <c r="G300" s="330">
        <v>0</v>
      </c>
      <c r="H300" s="83"/>
      <c r="I300" s="12"/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54">
        <f t="shared" si="23"/>
        <v>0</v>
      </c>
      <c r="U300" s="155"/>
      <c r="V300" s="243"/>
      <c r="W300" s="30"/>
      <c r="X300" s="30"/>
      <c r="Y300" s="30"/>
      <c r="Z300" s="30"/>
      <c r="AA300" s="30"/>
      <c r="AB300" s="30"/>
      <c r="AC300" s="31"/>
      <c r="AD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</row>
    <row r="301" spans="2:48" ht="12.75" hidden="1">
      <c r="B301" t="s">
        <v>313</v>
      </c>
      <c r="C301" s="187" t="s">
        <v>314</v>
      </c>
      <c r="D301" s="191">
        <v>0.013</v>
      </c>
      <c r="E301" s="272"/>
      <c r="F301" s="272"/>
      <c r="G301" s="330">
        <v>0.013</v>
      </c>
      <c r="H301" s="83"/>
      <c r="I301" s="12"/>
      <c r="J301" s="12">
        <v>0.011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54">
        <f t="shared" si="23"/>
        <v>0.011</v>
      </c>
      <c r="U301" s="155"/>
      <c r="V301" s="243"/>
      <c r="W301" s="30"/>
      <c r="X301" s="30"/>
      <c r="Y301" s="30"/>
      <c r="Z301" s="30"/>
      <c r="AA301" s="30"/>
      <c r="AB301" s="30"/>
      <c r="AC301" s="31"/>
      <c r="AD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</row>
    <row r="302" spans="2:48" ht="12.75" hidden="1">
      <c r="B302" t="s">
        <v>315</v>
      </c>
      <c r="C302" s="187" t="s">
        <v>316</v>
      </c>
      <c r="D302" s="191">
        <v>0</v>
      </c>
      <c r="E302" s="272"/>
      <c r="F302" s="272"/>
      <c r="G302" s="330">
        <v>0</v>
      </c>
      <c r="H302" s="83"/>
      <c r="I302" s="12"/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54">
        <f t="shared" si="23"/>
        <v>0</v>
      </c>
      <c r="U302" s="155"/>
      <c r="V302" s="243"/>
      <c r="W302" s="30"/>
      <c r="X302" s="30"/>
      <c r="Y302" s="30"/>
      <c r="Z302" s="30"/>
      <c r="AA302" s="30"/>
      <c r="AB302" s="30"/>
      <c r="AC302" s="31"/>
      <c r="AD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</row>
    <row r="303" spans="2:48" ht="12.75" hidden="1">
      <c r="B303" t="s">
        <v>317</v>
      </c>
      <c r="C303" s="187" t="s">
        <v>318</v>
      </c>
      <c r="D303" s="191">
        <v>0</v>
      </c>
      <c r="E303" s="272"/>
      <c r="F303" s="272"/>
      <c r="G303" s="330">
        <v>0</v>
      </c>
      <c r="H303" s="83"/>
      <c r="I303" s="12"/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54">
        <f t="shared" si="23"/>
        <v>0</v>
      </c>
      <c r="U303" s="155"/>
      <c r="V303" s="243"/>
      <c r="W303" s="30"/>
      <c r="X303" s="30"/>
      <c r="Y303" s="30"/>
      <c r="Z303" s="30"/>
      <c r="AA303" s="30"/>
      <c r="AB303" s="30"/>
      <c r="AC303" s="31"/>
      <c r="AD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</row>
    <row r="304" spans="2:48" ht="12.75" hidden="1">
      <c r="B304" t="s">
        <v>196</v>
      </c>
      <c r="C304" s="187" t="s">
        <v>197</v>
      </c>
      <c r="D304" s="191">
        <v>0.36</v>
      </c>
      <c r="E304" s="272"/>
      <c r="F304" s="272"/>
      <c r="G304" s="330">
        <v>0.006</v>
      </c>
      <c r="H304" s="83"/>
      <c r="I304" s="12"/>
      <c r="J304" s="12">
        <v>0.004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54">
        <f t="shared" si="23"/>
        <v>0.004</v>
      </c>
      <c r="U304" s="155"/>
      <c r="V304" s="243"/>
      <c r="W304" s="30"/>
      <c r="X304" s="30"/>
      <c r="Y304" s="30"/>
      <c r="Z304" s="30"/>
      <c r="AA304" s="30"/>
      <c r="AB304" s="30"/>
      <c r="AC304" s="31"/>
      <c r="AD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</row>
    <row r="305" spans="2:48" ht="12.75" hidden="1">
      <c r="B305"/>
      <c r="C305" s="187"/>
      <c r="D305" s="191">
        <v>0</v>
      </c>
      <c r="E305" s="272"/>
      <c r="F305" s="272"/>
      <c r="G305" s="330">
        <v>0</v>
      </c>
      <c r="H305" s="83"/>
      <c r="I305" s="12"/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54">
        <f t="shared" si="23"/>
        <v>0</v>
      </c>
      <c r="U305" s="155"/>
      <c r="V305" s="243"/>
      <c r="W305" s="30"/>
      <c r="X305" s="30"/>
      <c r="Y305" s="30"/>
      <c r="Z305" s="30"/>
      <c r="AA305" s="30"/>
      <c r="AB305" s="30"/>
      <c r="AC305" s="31"/>
      <c r="AD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</row>
    <row r="306" spans="2:48" ht="12.75" hidden="1">
      <c r="B306"/>
      <c r="C306" s="187" t="s">
        <v>319</v>
      </c>
      <c r="D306" s="191">
        <v>0</v>
      </c>
      <c r="E306" s="272"/>
      <c r="F306" s="272"/>
      <c r="G306" s="330">
        <v>0</v>
      </c>
      <c r="H306" s="83"/>
      <c r="I306" s="12"/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54">
        <f t="shared" si="23"/>
        <v>0</v>
      </c>
      <c r="U306" s="155"/>
      <c r="V306" s="243"/>
      <c r="W306" s="30"/>
      <c r="X306" s="30"/>
      <c r="Y306" s="30"/>
      <c r="Z306" s="30"/>
      <c r="AA306" s="30"/>
      <c r="AB306" s="30"/>
      <c r="AC306" s="31"/>
      <c r="AD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</row>
    <row r="307" spans="2:48" ht="12.75" hidden="1">
      <c r="B307"/>
      <c r="C307" s="187" t="s">
        <v>320</v>
      </c>
      <c r="D307" s="191">
        <v>0</v>
      </c>
      <c r="E307" s="272"/>
      <c r="F307" s="272"/>
      <c r="G307" s="330">
        <v>0</v>
      </c>
      <c r="H307" s="83"/>
      <c r="I307" s="12"/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54">
        <f t="shared" si="23"/>
        <v>0</v>
      </c>
      <c r="U307" s="155"/>
      <c r="V307" s="243"/>
      <c r="W307" s="30"/>
      <c r="X307" s="30"/>
      <c r="Y307" s="30"/>
      <c r="Z307" s="30"/>
      <c r="AA307" s="30"/>
      <c r="AB307" s="30"/>
      <c r="AC307" s="31"/>
      <c r="AD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</row>
    <row r="308" spans="2:48" ht="12.75" hidden="1">
      <c r="B308"/>
      <c r="C308" s="187"/>
      <c r="D308" s="191">
        <v>0</v>
      </c>
      <c r="E308" s="272"/>
      <c r="F308" s="272"/>
      <c r="G308" s="330">
        <v>0</v>
      </c>
      <c r="H308" s="83"/>
      <c r="I308" s="12"/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54">
        <f t="shared" si="23"/>
        <v>0</v>
      </c>
      <c r="U308" s="155"/>
      <c r="V308" s="243"/>
      <c r="W308" s="30"/>
      <c r="X308" s="30"/>
      <c r="Y308" s="30"/>
      <c r="Z308" s="30"/>
      <c r="AA308" s="30"/>
      <c r="AB308" s="30"/>
      <c r="AC308" s="31"/>
      <c r="AD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</row>
    <row r="309" spans="2:48" ht="12.75" hidden="1">
      <c r="B309" t="s">
        <v>321</v>
      </c>
      <c r="C309" s="187" t="s">
        <v>322</v>
      </c>
      <c r="D309" s="191">
        <v>0.003</v>
      </c>
      <c r="E309" s="272"/>
      <c r="F309" s="272"/>
      <c r="G309" s="330">
        <v>0.003</v>
      </c>
      <c r="H309" s="83"/>
      <c r="I309" s="12"/>
      <c r="J309" s="12">
        <v>0.003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54">
        <f t="shared" si="23"/>
        <v>0.003</v>
      </c>
      <c r="U309" s="155"/>
      <c r="V309" s="243"/>
      <c r="W309" s="30"/>
      <c r="X309" s="30"/>
      <c r="Y309" s="30"/>
      <c r="Z309" s="30"/>
      <c r="AA309" s="30"/>
      <c r="AB309" s="30"/>
      <c r="AC309" s="31"/>
      <c r="AD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</row>
    <row r="310" spans="2:48" ht="12.75" hidden="1">
      <c r="B310" t="s">
        <v>323</v>
      </c>
      <c r="C310" s="187" t="s">
        <v>324</v>
      </c>
      <c r="D310" s="191">
        <v>0</v>
      </c>
      <c r="E310" s="272"/>
      <c r="F310" s="272"/>
      <c r="G310" s="330">
        <v>0</v>
      </c>
      <c r="H310" s="83"/>
      <c r="I310" s="12"/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54">
        <f t="shared" si="23"/>
        <v>0</v>
      </c>
      <c r="U310" s="155"/>
      <c r="V310" s="243"/>
      <c r="W310" s="30"/>
      <c r="X310" s="30"/>
      <c r="Y310" s="30"/>
      <c r="Z310" s="30"/>
      <c r="AA310" s="30"/>
      <c r="AB310" s="30"/>
      <c r="AC310" s="31"/>
      <c r="AD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</row>
    <row r="311" spans="2:48" ht="12.75" hidden="1">
      <c r="B311" t="s">
        <v>325</v>
      </c>
      <c r="C311" s="187" t="s">
        <v>326</v>
      </c>
      <c r="D311" s="191">
        <v>0</v>
      </c>
      <c r="E311" s="272"/>
      <c r="F311" s="272"/>
      <c r="G311" s="330">
        <v>0</v>
      </c>
      <c r="H311" s="83"/>
      <c r="I311" s="12"/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54">
        <f t="shared" si="23"/>
        <v>0</v>
      </c>
      <c r="U311" s="155"/>
      <c r="V311" s="243"/>
      <c r="W311" s="30"/>
      <c r="X311" s="30"/>
      <c r="Y311" s="30"/>
      <c r="Z311" s="30"/>
      <c r="AA311" s="30"/>
      <c r="AB311" s="30"/>
      <c r="AC311" s="31"/>
      <c r="AD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</row>
    <row r="312" spans="2:48" ht="12.75" hidden="1">
      <c r="B312" t="s">
        <v>327</v>
      </c>
      <c r="C312" s="187" t="s">
        <v>328</v>
      </c>
      <c r="D312" s="191">
        <v>0.025</v>
      </c>
      <c r="E312" s="272"/>
      <c r="F312" s="272"/>
      <c r="G312" s="330">
        <v>0.025</v>
      </c>
      <c r="H312" s="83"/>
      <c r="I312" s="12"/>
      <c r="J312" s="12">
        <v>0.001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54">
        <f t="shared" si="23"/>
        <v>0.001</v>
      </c>
      <c r="U312" s="155"/>
      <c r="V312" s="243"/>
      <c r="W312" s="30"/>
      <c r="X312" s="30"/>
      <c r="Y312" s="30"/>
      <c r="Z312" s="30"/>
      <c r="AA312" s="30"/>
      <c r="AB312" s="30"/>
      <c r="AC312" s="31"/>
      <c r="AD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</row>
    <row r="313" spans="2:48" ht="12.75" hidden="1">
      <c r="B313" t="s">
        <v>329</v>
      </c>
      <c r="C313" s="187" t="s">
        <v>330</v>
      </c>
      <c r="D313" s="191">
        <v>0</v>
      </c>
      <c r="E313" s="272"/>
      <c r="F313" s="272"/>
      <c r="G313" s="330">
        <v>0</v>
      </c>
      <c r="H313" s="83"/>
      <c r="I313" s="12"/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54">
        <f t="shared" si="23"/>
        <v>0</v>
      </c>
      <c r="U313" s="155"/>
      <c r="V313" s="243"/>
      <c r="W313" s="30"/>
      <c r="X313" s="30"/>
      <c r="Y313" s="30"/>
      <c r="Z313" s="30"/>
      <c r="AA313" s="30"/>
      <c r="AB313" s="30"/>
      <c r="AC313" s="31"/>
      <c r="AD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</row>
    <row r="314" spans="2:48" ht="12.75" hidden="1">
      <c r="B314" t="s">
        <v>331</v>
      </c>
      <c r="C314" s="187" t="s">
        <v>332</v>
      </c>
      <c r="D314" s="191">
        <v>0</v>
      </c>
      <c r="E314" s="272"/>
      <c r="F314" s="272"/>
      <c r="G314" s="330">
        <v>0</v>
      </c>
      <c r="H314" s="83"/>
      <c r="I314" s="12"/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54">
        <f t="shared" si="23"/>
        <v>0</v>
      </c>
      <c r="U314" s="155"/>
      <c r="V314" s="243"/>
      <c r="W314" s="30"/>
      <c r="X314" s="30"/>
      <c r="Y314" s="30"/>
      <c r="Z314" s="30"/>
      <c r="AA314" s="30"/>
      <c r="AB314" s="30"/>
      <c r="AC314" s="31"/>
      <c r="AD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</row>
    <row r="315" spans="2:48" ht="12.75" hidden="1">
      <c r="B315" t="s">
        <v>333</v>
      </c>
      <c r="C315" s="187" t="s">
        <v>334</v>
      </c>
      <c r="D315" s="191">
        <v>0</v>
      </c>
      <c r="E315" s="272"/>
      <c r="F315" s="272"/>
      <c r="G315" s="330">
        <v>0</v>
      </c>
      <c r="H315" s="83"/>
      <c r="I315" s="12"/>
      <c r="J315" s="12">
        <v>0.027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54">
        <f t="shared" si="23"/>
        <v>0.027</v>
      </c>
      <c r="U315" s="155"/>
      <c r="V315" s="243"/>
      <c r="W315" s="30"/>
      <c r="X315" s="30"/>
      <c r="Y315" s="30"/>
      <c r="Z315" s="30"/>
      <c r="AA315" s="30"/>
      <c r="AB315" s="30"/>
      <c r="AC315" s="31"/>
      <c r="AD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</row>
    <row r="316" spans="2:48" ht="12.75" hidden="1">
      <c r="B316" t="s">
        <v>335</v>
      </c>
      <c r="C316" s="187" t="s">
        <v>336</v>
      </c>
      <c r="D316" s="191">
        <v>0</v>
      </c>
      <c r="E316" s="272"/>
      <c r="F316" s="272"/>
      <c r="G316" s="330">
        <v>0</v>
      </c>
      <c r="H316" s="83"/>
      <c r="I316" s="12"/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54">
        <f t="shared" si="23"/>
        <v>0</v>
      </c>
      <c r="U316" s="155"/>
      <c r="V316" s="243"/>
      <c r="W316" s="30"/>
      <c r="X316" s="30"/>
      <c r="Y316" s="30"/>
      <c r="Z316" s="30"/>
      <c r="AA316" s="30"/>
      <c r="AB316" s="30"/>
      <c r="AC316" s="31"/>
      <c r="AD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</row>
    <row r="317" spans="1:48" ht="13.5" customHeight="1">
      <c r="A317" s="27" t="s">
        <v>486</v>
      </c>
      <c r="B317" s="181" t="s">
        <v>858</v>
      </c>
      <c r="C317" s="258" t="s">
        <v>487</v>
      </c>
      <c r="D317" s="20">
        <f>SUM(D319:D371)</f>
        <v>0.15200000000000002</v>
      </c>
      <c r="E317" s="326"/>
      <c r="F317" s="326"/>
      <c r="G317" s="5">
        <f>SUM(G319:G371)</f>
        <v>0.036000000000000004</v>
      </c>
      <c r="H317" s="27">
        <f>SUM(H319:H371)</f>
        <v>0.003</v>
      </c>
      <c r="I317" s="27">
        <f>SUM(I319:I371)</f>
        <v>0</v>
      </c>
      <c r="J317" s="27">
        <f aca="true" t="shared" si="25" ref="J317:S317">SUM(J319:J371)</f>
        <v>0</v>
      </c>
      <c r="K317" s="27">
        <f t="shared" si="25"/>
        <v>0.011</v>
      </c>
      <c r="L317" s="27">
        <f t="shared" si="25"/>
        <v>0</v>
      </c>
      <c r="M317" s="27">
        <f t="shared" si="25"/>
        <v>0.006</v>
      </c>
      <c r="N317" s="27">
        <f t="shared" si="25"/>
        <v>0</v>
      </c>
      <c r="O317" s="27">
        <f t="shared" si="25"/>
        <v>0</v>
      </c>
      <c r="P317" s="27">
        <f t="shared" si="25"/>
        <v>0.003</v>
      </c>
      <c r="Q317" s="27">
        <f t="shared" si="25"/>
        <v>0.011</v>
      </c>
      <c r="R317" s="27">
        <f t="shared" si="25"/>
        <v>0</v>
      </c>
      <c r="S317" s="36">
        <f t="shared" si="25"/>
        <v>0.011</v>
      </c>
      <c r="T317" s="318">
        <f t="shared" si="23"/>
        <v>0.013999999999999999</v>
      </c>
      <c r="U317" s="156"/>
      <c r="V317" s="243"/>
      <c r="W317" s="30"/>
      <c r="X317" s="30"/>
      <c r="Y317" s="30"/>
      <c r="Z317" s="30"/>
      <c r="AA317" s="30"/>
      <c r="AB317" s="30"/>
      <c r="AC317" s="31"/>
      <c r="AD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</row>
    <row r="318" spans="2:48" ht="12.75" hidden="1">
      <c r="B318" t="s">
        <v>5</v>
      </c>
      <c r="C318" s="187" t="s">
        <v>337</v>
      </c>
      <c r="D318" s="191"/>
      <c r="E318" s="272"/>
      <c r="F318" s="272"/>
      <c r="G318" s="330"/>
      <c r="H318" s="83"/>
      <c r="I318" s="12"/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54">
        <f t="shared" si="23"/>
        <v>0</v>
      </c>
      <c r="U318" s="155"/>
      <c r="V318" s="243"/>
      <c r="W318" s="30"/>
      <c r="X318" s="30"/>
      <c r="Y318" s="30"/>
      <c r="Z318" s="30"/>
      <c r="AA318" s="30"/>
      <c r="AB318" s="30"/>
      <c r="AC318" s="31"/>
      <c r="AD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</row>
    <row r="319" spans="2:48" ht="12.75" hidden="1">
      <c r="B319"/>
      <c r="C319" s="187"/>
      <c r="D319" s="191">
        <v>0</v>
      </c>
      <c r="E319" s="272"/>
      <c r="F319" s="272"/>
      <c r="G319" s="330">
        <v>0</v>
      </c>
      <c r="H319" s="83"/>
      <c r="I319" s="12"/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54">
        <f t="shared" si="23"/>
        <v>0</v>
      </c>
      <c r="U319" s="155"/>
      <c r="V319" s="243"/>
      <c r="W319" s="30"/>
      <c r="X319" s="30"/>
      <c r="Y319" s="30"/>
      <c r="Z319" s="30"/>
      <c r="AA319" s="30"/>
      <c r="AB319" s="30"/>
      <c r="AC319" s="31"/>
      <c r="AD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</row>
    <row r="320" spans="2:48" ht="12.75" hidden="1">
      <c r="B320"/>
      <c r="C320" s="187" t="s">
        <v>338</v>
      </c>
      <c r="D320" s="191">
        <v>0</v>
      </c>
      <c r="E320" s="272"/>
      <c r="F320" s="272"/>
      <c r="G320" s="330">
        <v>0</v>
      </c>
      <c r="H320" s="83"/>
      <c r="I320" s="12"/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54">
        <f t="shared" si="23"/>
        <v>0</v>
      </c>
      <c r="U320" s="155"/>
      <c r="V320" s="243"/>
      <c r="W320" s="30"/>
      <c r="X320" s="30"/>
      <c r="Y320" s="30"/>
      <c r="Z320" s="30"/>
      <c r="AA320" s="30"/>
      <c r="AB320" s="30"/>
      <c r="AC320" s="31"/>
      <c r="AD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</row>
    <row r="321" spans="2:48" ht="12.75" hidden="1">
      <c r="B321" t="s">
        <v>339</v>
      </c>
      <c r="C321" s="187" t="s">
        <v>340</v>
      </c>
      <c r="D321" s="191">
        <v>0</v>
      </c>
      <c r="E321" s="272"/>
      <c r="F321" s="272"/>
      <c r="G321" s="330">
        <v>0</v>
      </c>
      <c r="H321" s="83"/>
      <c r="I321" s="12"/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54">
        <f t="shared" si="23"/>
        <v>0</v>
      </c>
      <c r="U321" s="155"/>
      <c r="V321" s="243"/>
      <c r="W321" s="30"/>
      <c r="X321" s="30"/>
      <c r="Y321" s="30"/>
      <c r="Z321" s="30"/>
      <c r="AA321" s="30"/>
      <c r="AB321" s="30"/>
      <c r="AC321" s="31"/>
      <c r="AD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</row>
    <row r="322" spans="2:48" ht="12.75" hidden="1">
      <c r="B322" t="s">
        <v>341</v>
      </c>
      <c r="C322" s="187" t="s">
        <v>387</v>
      </c>
      <c r="D322" s="191">
        <v>0.003</v>
      </c>
      <c r="E322" s="272"/>
      <c r="F322" s="272"/>
      <c r="G322" s="330">
        <v>0</v>
      </c>
      <c r="H322" s="83"/>
      <c r="I322" s="12"/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0.003</v>
      </c>
      <c r="Q322" s="12">
        <v>0</v>
      </c>
      <c r="R322" s="12">
        <v>0</v>
      </c>
      <c r="S322" s="12">
        <v>0</v>
      </c>
      <c r="T322" s="154">
        <f t="shared" si="23"/>
        <v>0</v>
      </c>
      <c r="U322" s="155"/>
      <c r="V322" s="243"/>
      <c r="W322" s="30"/>
      <c r="X322" s="30"/>
      <c r="Y322" s="30"/>
      <c r="Z322" s="30"/>
      <c r="AA322" s="30"/>
      <c r="AB322" s="30"/>
      <c r="AC322" s="31"/>
      <c r="AD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</row>
    <row r="323" spans="2:48" ht="12.75" hidden="1">
      <c r="B323" t="s">
        <v>388</v>
      </c>
      <c r="C323" s="187" t="s">
        <v>389</v>
      </c>
      <c r="D323" s="191">
        <v>0.001</v>
      </c>
      <c r="E323" s="272"/>
      <c r="F323" s="272"/>
      <c r="G323" s="330">
        <v>0</v>
      </c>
      <c r="H323" s="83"/>
      <c r="I323" s="12"/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54">
        <f t="shared" si="23"/>
        <v>0</v>
      </c>
      <c r="U323" s="155"/>
      <c r="V323" s="243"/>
      <c r="W323" s="30"/>
      <c r="X323" s="30"/>
      <c r="Y323" s="30"/>
      <c r="Z323" s="30"/>
      <c r="AA323" s="30"/>
      <c r="AB323" s="30"/>
      <c r="AC323" s="31"/>
      <c r="AD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</row>
    <row r="324" spans="2:48" ht="12.75" hidden="1">
      <c r="B324" t="s">
        <v>159</v>
      </c>
      <c r="C324" s="187"/>
      <c r="D324" s="191"/>
      <c r="E324" s="272"/>
      <c r="F324" s="272"/>
      <c r="G324" s="330">
        <v>0.001</v>
      </c>
      <c r="H324" s="8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54"/>
      <c r="U324" s="155"/>
      <c r="V324" s="243"/>
      <c r="W324" s="30"/>
      <c r="X324" s="30"/>
      <c r="Y324" s="30"/>
      <c r="Z324" s="30"/>
      <c r="AA324" s="30"/>
      <c r="AB324" s="30"/>
      <c r="AC324" s="31"/>
      <c r="AD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</row>
    <row r="325" spans="2:48" ht="12.75" hidden="1">
      <c r="B325"/>
      <c r="C325" s="187" t="s">
        <v>390</v>
      </c>
      <c r="D325" s="191">
        <v>0</v>
      </c>
      <c r="E325" s="272"/>
      <c r="F325" s="272"/>
      <c r="G325" s="330">
        <v>0</v>
      </c>
      <c r="H325" s="83"/>
      <c r="I325" s="12"/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54">
        <f t="shared" si="23"/>
        <v>0</v>
      </c>
      <c r="U325" s="155"/>
      <c r="V325" s="243"/>
      <c r="W325" s="30"/>
      <c r="X325" s="30"/>
      <c r="Y325" s="30"/>
      <c r="Z325" s="30"/>
      <c r="AA325" s="30"/>
      <c r="AB325" s="30"/>
      <c r="AC325" s="31"/>
      <c r="AD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</row>
    <row r="326" spans="2:48" ht="12.75" hidden="1">
      <c r="B326" t="s">
        <v>391</v>
      </c>
      <c r="C326" s="187" t="s">
        <v>392</v>
      </c>
      <c r="D326" s="191">
        <v>0.001</v>
      </c>
      <c r="E326" s="272"/>
      <c r="F326" s="272"/>
      <c r="G326" s="330">
        <v>0.001</v>
      </c>
      <c r="H326" s="83">
        <v>0.001</v>
      </c>
      <c r="I326" s="12"/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54">
        <f t="shared" si="23"/>
        <v>0.001</v>
      </c>
      <c r="U326" s="155"/>
      <c r="V326" s="243"/>
      <c r="W326" s="30"/>
      <c r="X326" s="30"/>
      <c r="Y326" s="30"/>
      <c r="Z326" s="30"/>
      <c r="AA326" s="30"/>
      <c r="AB326" s="30"/>
      <c r="AC326" s="31"/>
      <c r="AD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</row>
    <row r="327" spans="2:48" ht="12.75" hidden="1">
      <c r="B327" t="s">
        <v>393</v>
      </c>
      <c r="C327" s="187" t="s">
        <v>394</v>
      </c>
      <c r="D327" s="191">
        <v>0</v>
      </c>
      <c r="E327" s="272"/>
      <c r="F327" s="272"/>
      <c r="G327" s="330">
        <v>0</v>
      </c>
      <c r="H327" s="83"/>
      <c r="I327" s="12"/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0.001</v>
      </c>
      <c r="R327" s="12">
        <v>0</v>
      </c>
      <c r="S327" s="12">
        <v>0</v>
      </c>
      <c r="T327" s="154">
        <f t="shared" si="23"/>
        <v>0</v>
      </c>
      <c r="U327" s="155"/>
      <c r="V327" s="243"/>
      <c r="W327" s="30"/>
      <c r="X327" s="30"/>
      <c r="Y327" s="30"/>
      <c r="Z327" s="30"/>
      <c r="AA327" s="30"/>
      <c r="AB327" s="30"/>
      <c r="AC327" s="31"/>
      <c r="AD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</row>
    <row r="328" spans="2:48" ht="12.75" hidden="1">
      <c r="B328" t="s">
        <v>395</v>
      </c>
      <c r="C328" s="187" t="s">
        <v>396</v>
      </c>
      <c r="D328" s="191">
        <v>0.013</v>
      </c>
      <c r="E328" s="272"/>
      <c r="F328" s="272"/>
      <c r="G328" s="330">
        <v>0.001</v>
      </c>
      <c r="H328" s="83"/>
      <c r="I328" s="12"/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0.01</v>
      </c>
      <c r="R328" s="12">
        <v>0</v>
      </c>
      <c r="S328" s="12">
        <v>0.003</v>
      </c>
      <c r="T328" s="154">
        <f t="shared" si="23"/>
        <v>0</v>
      </c>
      <c r="U328" s="155"/>
      <c r="V328" s="243"/>
      <c r="W328" s="30"/>
      <c r="X328" s="30"/>
      <c r="Y328" s="30"/>
      <c r="Z328" s="30"/>
      <c r="AA328" s="30"/>
      <c r="AB328" s="30"/>
      <c r="AC328" s="31"/>
      <c r="AD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</row>
    <row r="329" spans="2:48" ht="12.75" hidden="1">
      <c r="B329" t="s">
        <v>397</v>
      </c>
      <c r="C329" s="187" t="s">
        <v>398</v>
      </c>
      <c r="D329" s="191">
        <v>0</v>
      </c>
      <c r="E329" s="272"/>
      <c r="F329" s="272"/>
      <c r="G329" s="330">
        <v>0</v>
      </c>
      <c r="H329" s="83"/>
      <c r="I329" s="12"/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54">
        <f t="shared" si="23"/>
        <v>0</v>
      </c>
      <c r="U329" s="155"/>
      <c r="V329" s="243"/>
      <c r="W329" s="30"/>
      <c r="X329" s="30"/>
      <c r="Y329" s="30"/>
      <c r="Z329" s="30"/>
      <c r="AA329" s="30"/>
      <c r="AB329" s="30"/>
      <c r="AC329" s="31"/>
      <c r="AD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</row>
    <row r="330" spans="2:48" ht="12.75" hidden="1">
      <c r="B330" t="s">
        <v>399</v>
      </c>
      <c r="C330" s="187" t="s">
        <v>400</v>
      </c>
      <c r="D330" s="191">
        <v>0</v>
      </c>
      <c r="E330" s="272"/>
      <c r="F330" s="272"/>
      <c r="G330" s="330">
        <v>0</v>
      </c>
      <c r="H330" s="83"/>
      <c r="I330" s="12"/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54">
        <f t="shared" si="23"/>
        <v>0</v>
      </c>
      <c r="U330" s="155"/>
      <c r="V330" s="243"/>
      <c r="W330" s="30"/>
      <c r="X330" s="30"/>
      <c r="Y330" s="30"/>
      <c r="Z330" s="30"/>
      <c r="AA330" s="30"/>
      <c r="AB330" s="30"/>
      <c r="AC330" s="31"/>
      <c r="AD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</row>
    <row r="331" spans="2:48" ht="12.75" hidden="1">
      <c r="B331"/>
      <c r="C331" s="187" t="s">
        <v>401</v>
      </c>
      <c r="D331" s="191">
        <v>0</v>
      </c>
      <c r="E331" s="272"/>
      <c r="F331" s="272"/>
      <c r="G331" s="330">
        <v>0</v>
      </c>
      <c r="H331" s="83"/>
      <c r="I331" s="12"/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54">
        <f t="shared" si="23"/>
        <v>0</v>
      </c>
      <c r="U331" s="155"/>
      <c r="V331" s="243"/>
      <c r="W331" s="30"/>
      <c r="X331" s="30"/>
      <c r="Y331" s="30"/>
      <c r="Z331" s="30"/>
      <c r="AA331" s="30"/>
      <c r="AB331" s="30"/>
      <c r="AC331" s="31"/>
      <c r="AD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</row>
    <row r="332" spans="2:48" ht="12.75" hidden="1">
      <c r="B332" t="s">
        <v>402</v>
      </c>
      <c r="C332" s="187" t="s">
        <v>403</v>
      </c>
      <c r="D332" s="191">
        <v>0.026</v>
      </c>
      <c r="E332" s="272"/>
      <c r="F332" s="272"/>
      <c r="G332" s="330">
        <v>0.026</v>
      </c>
      <c r="H332" s="83"/>
      <c r="I332" s="12"/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54">
        <f t="shared" si="23"/>
        <v>0</v>
      </c>
      <c r="U332" s="155"/>
      <c r="V332" s="243"/>
      <c r="W332" s="30"/>
      <c r="X332" s="30"/>
      <c r="Y332" s="30"/>
      <c r="Z332" s="30"/>
      <c r="AA332" s="30"/>
      <c r="AB332" s="30"/>
      <c r="AC332" s="31"/>
      <c r="AD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</row>
    <row r="333" spans="2:48" ht="12.75" hidden="1">
      <c r="B333" t="s">
        <v>404</v>
      </c>
      <c r="C333" s="187" t="s">
        <v>405</v>
      </c>
      <c r="D333" s="191">
        <v>0.001</v>
      </c>
      <c r="E333" s="272"/>
      <c r="F333" s="272"/>
      <c r="G333" s="330">
        <v>0</v>
      </c>
      <c r="H333" s="83"/>
      <c r="I333" s="12"/>
      <c r="J333" s="12">
        <v>0</v>
      </c>
      <c r="K333" s="12">
        <v>0</v>
      </c>
      <c r="L333" s="12">
        <v>0</v>
      </c>
      <c r="M333" s="12">
        <v>0.001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54">
        <f t="shared" si="23"/>
        <v>0</v>
      </c>
      <c r="U333" s="155"/>
      <c r="V333" s="243"/>
      <c r="W333" s="30"/>
      <c r="X333" s="30"/>
      <c r="Y333" s="30"/>
      <c r="Z333" s="30"/>
      <c r="AA333" s="30"/>
      <c r="AB333" s="30"/>
      <c r="AC333" s="31"/>
      <c r="AD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</row>
    <row r="334" spans="2:48" ht="12.75" hidden="1">
      <c r="B334" t="s">
        <v>406</v>
      </c>
      <c r="C334" s="187" t="s">
        <v>407</v>
      </c>
      <c r="D334" s="191">
        <v>0</v>
      </c>
      <c r="E334" s="272"/>
      <c r="F334" s="272"/>
      <c r="G334" s="330">
        <v>0</v>
      </c>
      <c r="H334" s="83"/>
      <c r="I334" s="12"/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54">
        <f t="shared" si="23"/>
        <v>0</v>
      </c>
      <c r="U334" s="155"/>
      <c r="V334" s="243"/>
      <c r="W334" s="30"/>
      <c r="X334" s="30"/>
      <c r="Y334" s="30"/>
      <c r="Z334" s="30"/>
      <c r="AA334" s="30"/>
      <c r="AB334" s="30"/>
      <c r="AC334" s="31"/>
      <c r="AD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</row>
    <row r="335" spans="2:48" ht="12.75" hidden="1">
      <c r="B335" t="s">
        <v>408</v>
      </c>
      <c r="C335" s="187" t="s">
        <v>409</v>
      </c>
      <c r="D335" s="191">
        <v>0.002</v>
      </c>
      <c r="E335" s="272"/>
      <c r="F335" s="272"/>
      <c r="G335" s="330">
        <v>0</v>
      </c>
      <c r="H335" s="83"/>
      <c r="I335" s="12"/>
      <c r="J335" s="12">
        <v>0</v>
      </c>
      <c r="K335" s="12">
        <v>0</v>
      </c>
      <c r="L335" s="12">
        <v>0</v>
      </c>
      <c r="M335" s="12">
        <v>0.002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54">
        <f t="shared" si="23"/>
        <v>0</v>
      </c>
      <c r="U335" s="155"/>
      <c r="V335" s="243"/>
      <c r="W335" s="30"/>
      <c r="X335" s="30"/>
      <c r="Y335" s="30"/>
      <c r="Z335" s="30"/>
      <c r="AA335" s="30"/>
      <c r="AB335" s="30"/>
      <c r="AC335" s="31"/>
      <c r="AD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</row>
    <row r="336" spans="2:48" ht="12.75" hidden="1">
      <c r="B336" t="s">
        <v>410</v>
      </c>
      <c r="C336" s="187" t="s">
        <v>416</v>
      </c>
      <c r="D336" s="191">
        <v>0</v>
      </c>
      <c r="E336" s="272"/>
      <c r="F336" s="272"/>
      <c r="G336" s="330">
        <v>0</v>
      </c>
      <c r="H336" s="83"/>
      <c r="I336" s="12"/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54">
        <f t="shared" si="23"/>
        <v>0</v>
      </c>
      <c r="U336" s="155"/>
      <c r="V336" s="243"/>
      <c r="W336" s="30"/>
      <c r="X336" s="30"/>
      <c r="Y336" s="30"/>
      <c r="Z336" s="30"/>
      <c r="AA336" s="30"/>
      <c r="AB336" s="30"/>
      <c r="AC336" s="31"/>
      <c r="AD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</row>
    <row r="337" spans="2:48" ht="12.75" hidden="1">
      <c r="B337"/>
      <c r="C337" s="187" t="s">
        <v>417</v>
      </c>
      <c r="D337" s="191">
        <v>0</v>
      </c>
      <c r="E337" s="272"/>
      <c r="F337" s="272"/>
      <c r="G337" s="330">
        <v>0</v>
      </c>
      <c r="H337" s="83"/>
      <c r="I337" s="12"/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54">
        <f t="shared" si="23"/>
        <v>0</v>
      </c>
      <c r="U337" s="155"/>
      <c r="V337" s="243"/>
      <c r="W337" s="30"/>
      <c r="X337" s="30"/>
      <c r="Y337" s="30"/>
      <c r="Z337" s="30"/>
      <c r="AA337" s="30"/>
      <c r="AB337" s="30"/>
      <c r="AC337" s="31"/>
      <c r="AD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</row>
    <row r="338" spans="2:48" ht="12.75" hidden="1">
      <c r="B338" t="s">
        <v>418</v>
      </c>
      <c r="C338" s="187" t="s">
        <v>419</v>
      </c>
      <c r="D338" s="191">
        <v>0</v>
      </c>
      <c r="E338" s="272"/>
      <c r="F338" s="272"/>
      <c r="G338" s="330">
        <v>0</v>
      </c>
      <c r="H338" s="83"/>
      <c r="I338" s="12"/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54">
        <f t="shared" si="23"/>
        <v>0</v>
      </c>
      <c r="U338" s="155"/>
      <c r="V338" s="243"/>
      <c r="W338" s="30"/>
      <c r="X338" s="30"/>
      <c r="Y338" s="30"/>
      <c r="Z338" s="30"/>
      <c r="AA338" s="30"/>
      <c r="AB338" s="30"/>
      <c r="AC338" s="31"/>
      <c r="AD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</row>
    <row r="339" spans="2:48" ht="12.75" hidden="1">
      <c r="B339" t="s">
        <v>420</v>
      </c>
      <c r="C339" s="187" t="s">
        <v>421</v>
      </c>
      <c r="D339" s="191">
        <v>0</v>
      </c>
      <c r="E339" s="272"/>
      <c r="F339" s="272"/>
      <c r="G339" s="330">
        <v>0</v>
      </c>
      <c r="H339" s="83"/>
      <c r="I339" s="12"/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54">
        <f t="shared" si="23"/>
        <v>0</v>
      </c>
      <c r="U339" s="155"/>
      <c r="V339" s="243"/>
      <c r="W339" s="30"/>
      <c r="X339" s="30"/>
      <c r="Y339" s="30"/>
      <c r="Z339" s="30"/>
      <c r="AA339" s="30"/>
      <c r="AB339" s="30"/>
      <c r="AC339" s="31"/>
      <c r="AD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</row>
    <row r="340" spans="2:48" ht="12.75" hidden="1">
      <c r="B340" t="s">
        <v>422</v>
      </c>
      <c r="C340" s="187" t="s">
        <v>423</v>
      </c>
      <c r="D340" s="191">
        <v>0</v>
      </c>
      <c r="E340" s="272"/>
      <c r="F340" s="272"/>
      <c r="G340" s="330">
        <v>0</v>
      </c>
      <c r="H340" s="83"/>
      <c r="I340" s="12"/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54">
        <f t="shared" si="23"/>
        <v>0</v>
      </c>
      <c r="U340" s="155"/>
      <c r="V340" s="243"/>
      <c r="W340" s="30"/>
      <c r="X340" s="30"/>
      <c r="Y340" s="30"/>
      <c r="Z340" s="30"/>
      <c r="AA340" s="30"/>
      <c r="AB340" s="30"/>
      <c r="AC340" s="31"/>
      <c r="AD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</row>
    <row r="341" spans="2:48" ht="12.75" hidden="1">
      <c r="B341" t="s">
        <v>424</v>
      </c>
      <c r="C341" s="187" t="s">
        <v>425</v>
      </c>
      <c r="D341" s="191">
        <v>0</v>
      </c>
      <c r="E341" s="272"/>
      <c r="F341" s="272"/>
      <c r="G341" s="330">
        <v>0</v>
      </c>
      <c r="H341" s="83"/>
      <c r="I341" s="12"/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54">
        <f t="shared" si="23"/>
        <v>0</v>
      </c>
      <c r="U341" s="155"/>
      <c r="V341" s="243"/>
      <c r="W341" s="30"/>
      <c r="X341" s="30"/>
      <c r="Y341" s="30"/>
      <c r="Z341" s="30"/>
      <c r="AA341" s="30"/>
      <c r="AB341" s="30"/>
      <c r="AC341" s="31"/>
      <c r="AD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</row>
    <row r="342" spans="2:48" ht="12.75" hidden="1">
      <c r="B342" t="s">
        <v>426</v>
      </c>
      <c r="C342" s="187" t="s">
        <v>427</v>
      </c>
      <c r="D342" s="191">
        <v>0</v>
      </c>
      <c r="E342" s="272"/>
      <c r="F342" s="272"/>
      <c r="G342" s="330">
        <v>0</v>
      </c>
      <c r="H342" s="83"/>
      <c r="I342" s="12"/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54">
        <f t="shared" si="23"/>
        <v>0</v>
      </c>
      <c r="U342" s="155"/>
      <c r="V342" s="243"/>
      <c r="W342" s="30"/>
      <c r="X342" s="30"/>
      <c r="Y342" s="30"/>
      <c r="Z342" s="30"/>
      <c r="AA342" s="30"/>
      <c r="AB342" s="30"/>
      <c r="AC342" s="31"/>
      <c r="AD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</row>
    <row r="343" spans="2:48" ht="12.75" hidden="1">
      <c r="B343" t="s">
        <v>428</v>
      </c>
      <c r="C343" s="187" t="s">
        <v>429</v>
      </c>
      <c r="D343" s="191">
        <v>0.003</v>
      </c>
      <c r="E343" s="272"/>
      <c r="F343" s="272"/>
      <c r="G343" s="330">
        <v>0</v>
      </c>
      <c r="H343" s="83"/>
      <c r="I343" s="12"/>
      <c r="J343" s="12">
        <v>0</v>
      </c>
      <c r="K343" s="12">
        <v>0</v>
      </c>
      <c r="L343" s="12">
        <v>0</v>
      </c>
      <c r="M343" s="12">
        <v>0.003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0.001</v>
      </c>
      <c r="T343" s="154">
        <f t="shared" si="23"/>
        <v>0</v>
      </c>
      <c r="U343" s="155"/>
      <c r="V343" s="243"/>
      <c r="W343" s="30"/>
      <c r="X343" s="30"/>
      <c r="Y343" s="30"/>
      <c r="Z343" s="30"/>
      <c r="AA343" s="30"/>
      <c r="AB343" s="30"/>
      <c r="AC343" s="31"/>
      <c r="AD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</row>
    <row r="344" spans="2:48" ht="12.75" hidden="1">
      <c r="B344" t="s">
        <v>430</v>
      </c>
      <c r="C344" s="187" t="s">
        <v>431</v>
      </c>
      <c r="D344" s="191">
        <v>0.003</v>
      </c>
      <c r="E344" s="272"/>
      <c r="F344" s="272"/>
      <c r="G344" s="330">
        <v>0.003</v>
      </c>
      <c r="H344" s="83"/>
      <c r="I344" s="12"/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54">
        <f t="shared" si="23"/>
        <v>0</v>
      </c>
      <c r="U344" s="155"/>
      <c r="V344" s="243"/>
      <c r="W344" s="30"/>
      <c r="X344" s="30"/>
      <c r="Y344" s="30"/>
      <c r="Z344" s="30"/>
      <c r="AA344" s="30"/>
      <c r="AB344" s="30"/>
      <c r="AC344" s="31"/>
      <c r="AD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</row>
    <row r="345" spans="2:48" ht="12.75" hidden="1">
      <c r="B345" t="s">
        <v>432</v>
      </c>
      <c r="C345" s="187" t="s">
        <v>433</v>
      </c>
      <c r="D345" s="191">
        <v>0</v>
      </c>
      <c r="E345" s="272"/>
      <c r="F345" s="272"/>
      <c r="G345" s="330">
        <v>0</v>
      </c>
      <c r="H345" s="83"/>
      <c r="I345" s="12"/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54">
        <f t="shared" si="23"/>
        <v>0</v>
      </c>
      <c r="U345" s="155"/>
      <c r="V345" s="243"/>
      <c r="W345" s="30"/>
      <c r="X345" s="30"/>
      <c r="Y345" s="30"/>
      <c r="Z345" s="30"/>
      <c r="AA345" s="30"/>
      <c r="AB345" s="30"/>
      <c r="AC345" s="31"/>
      <c r="AD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</row>
    <row r="346" spans="2:48" ht="12.75" hidden="1">
      <c r="B346" t="s">
        <v>434</v>
      </c>
      <c r="C346" s="187" t="s">
        <v>435</v>
      </c>
      <c r="D346" s="191">
        <v>0</v>
      </c>
      <c r="E346" s="272"/>
      <c r="F346" s="272"/>
      <c r="G346" s="330">
        <v>0</v>
      </c>
      <c r="H346" s="83"/>
      <c r="I346" s="12"/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54">
        <f t="shared" si="23"/>
        <v>0</v>
      </c>
      <c r="U346" s="155"/>
      <c r="V346" s="243"/>
      <c r="W346" s="30"/>
      <c r="X346" s="30"/>
      <c r="Y346" s="30"/>
      <c r="Z346" s="30"/>
      <c r="AA346" s="30"/>
      <c r="AB346" s="30"/>
      <c r="AC346" s="31"/>
      <c r="AD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</row>
    <row r="347" spans="2:48" ht="12.75" hidden="1">
      <c r="B347" t="s">
        <v>436</v>
      </c>
      <c r="C347" s="187" t="s">
        <v>437</v>
      </c>
      <c r="D347" s="191">
        <v>0</v>
      </c>
      <c r="E347" s="272"/>
      <c r="F347" s="272"/>
      <c r="G347" s="330">
        <v>0</v>
      </c>
      <c r="H347" s="83"/>
      <c r="I347" s="12"/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54">
        <f aca="true" t="shared" si="26" ref="T347:T372">SUM(H347:L347)</f>
        <v>0</v>
      </c>
      <c r="U347" s="155"/>
      <c r="V347" s="243"/>
      <c r="W347" s="30"/>
      <c r="X347" s="30"/>
      <c r="Y347" s="30"/>
      <c r="Z347" s="30"/>
      <c r="AA347" s="30"/>
      <c r="AB347" s="30"/>
      <c r="AC347" s="31"/>
      <c r="AD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</row>
    <row r="348" spans="2:48" ht="12.75" hidden="1">
      <c r="B348" t="s">
        <v>438</v>
      </c>
      <c r="C348" s="187" t="s">
        <v>439</v>
      </c>
      <c r="D348" s="191">
        <v>0.001</v>
      </c>
      <c r="E348" s="272"/>
      <c r="F348" s="272"/>
      <c r="G348" s="330">
        <v>0.001</v>
      </c>
      <c r="H348" s="83"/>
      <c r="I348" s="12"/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0.001</v>
      </c>
      <c r="T348" s="154">
        <f t="shared" si="26"/>
        <v>0</v>
      </c>
      <c r="U348" s="155"/>
      <c r="V348" s="243"/>
      <c r="W348" s="30"/>
      <c r="X348" s="30"/>
      <c r="Y348" s="30"/>
      <c r="Z348" s="30"/>
      <c r="AA348" s="30"/>
      <c r="AB348" s="30"/>
      <c r="AC348" s="31"/>
      <c r="AD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</row>
    <row r="349" spans="2:48" ht="12.75" hidden="1">
      <c r="B349"/>
      <c r="C349" s="187"/>
      <c r="D349" s="191">
        <v>0</v>
      </c>
      <c r="E349" s="272"/>
      <c r="F349" s="272"/>
      <c r="G349" s="330">
        <v>0</v>
      </c>
      <c r="H349" s="83"/>
      <c r="I349" s="12"/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54">
        <f t="shared" si="26"/>
        <v>0</v>
      </c>
      <c r="U349" s="155"/>
      <c r="V349" s="243"/>
      <c r="W349" s="30"/>
      <c r="X349" s="30"/>
      <c r="Y349" s="30"/>
      <c r="Z349" s="30"/>
      <c r="AA349" s="30"/>
      <c r="AB349" s="30"/>
      <c r="AC349" s="31"/>
      <c r="AD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</row>
    <row r="350" spans="2:48" ht="12.75" hidden="1">
      <c r="B350"/>
      <c r="C350" s="187" t="s">
        <v>440</v>
      </c>
      <c r="D350" s="191">
        <v>0</v>
      </c>
      <c r="E350" s="272"/>
      <c r="F350" s="272"/>
      <c r="G350" s="330">
        <v>0</v>
      </c>
      <c r="H350" s="83"/>
      <c r="I350" s="12"/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54">
        <f t="shared" si="26"/>
        <v>0</v>
      </c>
      <c r="U350" s="155"/>
      <c r="V350" s="243"/>
      <c r="W350" s="30"/>
      <c r="X350" s="30"/>
      <c r="Y350" s="30"/>
      <c r="Z350" s="30"/>
      <c r="AA350" s="30"/>
      <c r="AB350" s="30"/>
      <c r="AC350" s="31"/>
      <c r="AD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</row>
    <row r="351" spans="2:48" ht="12.75" hidden="1">
      <c r="B351" t="s">
        <v>441</v>
      </c>
      <c r="C351" s="187" t="s">
        <v>442</v>
      </c>
      <c r="D351" s="191">
        <v>0</v>
      </c>
      <c r="E351" s="272"/>
      <c r="F351" s="272"/>
      <c r="G351" s="330">
        <v>0</v>
      </c>
      <c r="H351" s="83"/>
      <c r="I351" s="12"/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54">
        <f t="shared" si="26"/>
        <v>0</v>
      </c>
      <c r="U351" s="155"/>
      <c r="V351" s="243"/>
      <c r="W351" s="30"/>
      <c r="X351" s="30"/>
      <c r="Y351" s="30"/>
      <c r="Z351" s="30"/>
      <c r="AA351" s="30"/>
      <c r="AB351" s="30"/>
      <c r="AC351" s="31"/>
      <c r="AD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</row>
    <row r="352" spans="2:48" ht="12.75" hidden="1">
      <c r="B352" t="s">
        <v>443</v>
      </c>
      <c r="C352" s="187" t="s">
        <v>444</v>
      </c>
      <c r="D352" s="191">
        <v>0</v>
      </c>
      <c r="E352" s="272"/>
      <c r="F352" s="272"/>
      <c r="G352" s="330">
        <v>0</v>
      </c>
      <c r="H352" s="83"/>
      <c r="I352" s="12"/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54">
        <f t="shared" si="26"/>
        <v>0</v>
      </c>
      <c r="U352" s="155"/>
      <c r="V352" s="243"/>
      <c r="W352" s="30"/>
      <c r="X352" s="30"/>
      <c r="Y352" s="30"/>
      <c r="Z352" s="30"/>
      <c r="AA352" s="30"/>
      <c r="AB352" s="30"/>
      <c r="AC352" s="31"/>
      <c r="AD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</row>
    <row r="353" spans="2:48" ht="12.75" hidden="1">
      <c r="B353" t="s">
        <v>445</v>
      </c>
      <c r="C353" s="187" t="s">
        <v>446</v>
      </c>
      <c r="D353" s="191">
        <v>0</v>
      </c>
      <c r="E353" s="272"/>
      <c r="F353" s="272"/>
      <c r="G353" s="330">
        <v>0</v>
      </c>
      <c r="H353" s="83"/>
      <c r="I353" s="12"/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54">
        <f t="shared" si="26"/>
        <v>0</v>
      </c>
      <c r="U353" s="155"/>
      <c r="V353" s="243"/>
      <c r="W353" s="30"/>
      <c r="X353" s="30"/>
      <c r="Y353" s="30"/>
      <c r="Z353" s="30"/>
      <c r="AA353" s="30"/>
      <c r="AB353" s="30"/>
      <c r="AC353" s="31"/>
      <c r="AD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</row>
    <row r="354" spans="2:48" ht="12.75" hidden="1">
      <c r="B354" t="s">
        <v>447</v>
      </c>
      <c r="C354" s="187" t="s">
        <v>448</v>
      </c>
      <c r="D354" s="191">
        <v>0</v>
      </c>
      <c r="E354" s="272"/>
      <c r="F354" s="272"/>
      <c r="G354" s="330">
        <v>0</v>
      </c>
      <c r="H354" s="83"/>
      <c r="I354" s="12"/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54">
        <f t="shared" si="26"/>
        <v>0</v>
      </c>
      <c r="U354" s="155"/>
      <c r="V354" s="243"/>
      <c r="W354" s="30"/>
      <c r="X354" s="30"/>
      <c r="Y354" s="30"/>
      <c r="Z354" s="30"/>
      <c r="AA354" s="30"/>
      <c r="AB354" s="30"/>
      <c r="AC354" s="31"/>
      <c r="AD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</row>
    <row r="355" spans="2:48" ht="12.75" hidden="1">
      <c r="B355" t="s">
        <v>449</v>
      </c>
      <c r="C355" s="187" t="s">
        <v>450</v>
      </c>
      <c r="D355" s="191">
        <v>0.078</v>
      </c>
      <c r="E355" s="272"/>
      <c r="F355" s="272"/>
      <c r="G355" s="330">
        <v>0</v>
      </c>
      <c r="H355" s="83"/>
      <c r="I355" s="12"/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54">
        <f t="shared" si="26"/>
        <v>0</v>
      </c>
      <c r="U355" s="155"/>
      <c r="V355" s="243"/>
      <c r="W355" s="30"/>
      <c r="X355" s="30"/>
      <c r="Y355" s="30"/>
      <c r="Z355" s="30"/>
      <c r="AA355" s="30"/>
      <c r="AB355" s="30"/>
      <c r="AC355" s="31"/>
      <c r="AD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</row>
    <row r="356" spans="2:48" ht="12.75" hidden="1">
      <c r="B356" t="s">
        <v>451</v>
      </c>
      <c r="C356" s="187" t="s">
        <v>452</v>
      </c>
      <c r="D356" s="191">
        <v>0</v>
      </c>
      <c r="E356" s="272"/>
      <c r="F356" s="272"/>
      <c r="G356" s="330">
        <v>0</v>
      </c>
      <c r="H356" s="83"/>
      <c r="I356" s="12"/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54">
        <f t="shared" si="26"/>
        <v>0</v>
      </c>
      <c r="U356" s="155"/>
      <c r="V356" s="243"/>
      <c r="W356" s="30"/>
      <c r="X356" s="30"/>
      <c r="Y356" s="30"/>
      <c r="Z356" s="30"/>
      <c r="AA356" s="30"/>
      <c r="AB356" s="30"/>
      <c r="AC356" s="31"/>
      <c r="AD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</row>
    <row r="357" spans="2:48" ht="12.75" hidden="1">
      <c r="B357"/>
      <c r="C357" s="187" t="s">
        <v>453</v>
      </c>
      <c r="D357" s="191">
        <v>0</v>
      </c>
      <c r="E357" s="272"/>
      <c r="F357" s="272"/>
      <c r="G357" s="330">
        <v>0</v>
      </c>
      <c r="H357" s="83"/>
      <c r="I357" s="12"/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54">
        <f t="shared" si="26"/>
        <v>0</v>
      </c>
      <c r="U357" s="155"/>
      <c r="V357" s="243"/>
      <c r="W357" s="30"/>
      <c r="X357" s="30"/>
      <c r="Y357" s="30"/>
      <c r="Z357" s="30"/>
      <c r="AA357" s="30"/>
      <c r="AB357" s="30"/>
      <c r="AC357" s="31"/>
      <c r="AD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</row>
    <row r="358" spans="2:48" ht="12.75" hidden="1">
      <c r="B358" t="s">
        <v>454</v>
      </c>
      <c r="C358" s="187" t="s">
        <v>455</v>
      </c>
      <c r="D358" s="191">
        <v>0.001</v>
      </c>
      <c r="E358" s="272"/>
      <c r="F358" s="272"/>
      <c r="G358" s="330">
        <v>0</v>
      </c>
      <c r="H358" s="83"/>
      <c r="I358" s="12"/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0.001</v>
      </c>
      <c r="T358" s="154">
        <f t="shared" si="26"/>
        <v>0</v>
      </c>
      <c r="U358" s="155"/>
      <c r="V358" s="243"/>
      <c r="W358" s="30"/>
      <c r="X358" s="30"/>
      <c r="Y358" s="30"/>
      <c r="Z358" s="30"/>
      <c r="AA358" s="30"/>
      <c r="AB358" s="30"/>
      <c r="AC358" s="31"/>
      <c r="AD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</row>
    <row r="359" spans="2:48" ht="12.75" hidden="1">
      <c r="B359" t="s">
        <v>456</v>
      </c>
      <c r="C359" s="187" t="s">
        <v>457</v>
      </c>
      <c r="D359" s="191">
        <v>0</v>
      </c>
      <c r="E359" s="272"/>
      <c r="F359" s="272"/>
      <c r="G359" s="330">
        <v>0</v>
      </c>
      <c r="H359" s="83"/>
      <c r="I359" s="12"/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54">
        <f t="shared" si="26"/>
        <v>0</v>
      </c>
      <c r="U359" s="155"/>
      <c r="V359" s="243"/>
      <c r="W359" s="30"/>
      <c r="X359" s="30"/>
      <c r="Y359" s="30"/>
      <c r="Z359" s="30"/>
      <c r="AA359" s="30"/>
      <c r="AB359" s="30"/>
      <c r="AC359" s="31"/>
      <c r="AD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</row>
    <row r="360" spans="2:48" ht="12.75" hidden="1">
      <c r="B360" t="s">
        <v>458</v>
      </c>
      <c r="C360" s="187" t="s">
        <v>459</v>
      </c>
      <c r="D360" s="191">
        <v>0.001</v>
      </c>
      <c r="E360" s="272"/>
      <c r="F360" s="272"/>
      <c r="G360" s="330">
        <v>0</v>
      </c>
      <c r="H360" s="83"/>
      <c r="I360" s="12"/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0.001</v>
      </c>
      <c r="T360" s="154">
        <f t="shared" si="26"/>
        <v>0</v>
      </c>
      <c r="U360" s="155"/>
      <c r="V360" s="243"/>
      <c r="W360" s="30"/>
      <c r="X360" s="30"/>
      <c r="Y360" s="30"/>
      <c r="Z360" s="30"/>
      <c r="AA360" s="30"/>
      <c r="AB360" s="30"/>
      <c r="AC360" s="31"/>
      <c r="AD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</row>
    <row r="361" spans="2:48" ht="12.75" hidden="1">
      <c r="B361" t="s">
        <v>460</v>
      </c>
      <c r="C361" s="187" t="s">
        <v>461</v>
      </c>
      <c r="D361" s="191">
        <v>0.004</v>
      </c>
      <c r="E361" s="272"/>
      <c r="F361" s="272"/>
      <c r="G361" s="330">
        <v>0</v>
      </c>
      <c r="H361" s="83"/>
      <c r="I361" s="12"/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0.004</v>
      </c>
      <c r="T361" s="154">
        <f t="shared" si="26"/>
        <v>0</v>
      </c>
      <c r="U361" s="155"/>
      <c r="V361" s="243"/>
      <c r="W361" s="30"/>
      <c r="X361" s="30"/>
      <c r="Y361" s="30"/>
      <c r="Z361" s="30"/>
      <c r="AA361" s="30"/>
      <c r="AB361" s="30"/>
      <c r="AC361" s="31"/>
      <c r="AD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</row>
    <row r="362" spans="2:48" ht="12.75" hidden="1">
      <c r="B362" t="s">
        <v>462</v>
      </c>
      <c r="C362" s="187" t="s">
        <v>463</v>
      </c>
      <c r="D362" s="191">
        <v>0</v>
      </c>
      <c r="E362" s="272"/>
      <c r="F362" s="272"/>
      <c r="G362" s="330">
        <v>0</v>
      </c>
      <c r="H362" s="83"/>
      <c r="I362" s="12"/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54">
        <f t="shared" si="26"/>
        <v>0</v>
      </c>
      <c r="U362" s="155"/>
      <c r="V362" s="243"/>
      <c r="W362" s="30"/>
      <c r="X362" s="30"/>
      <c r="Y362" s="30"/>
      <c r="Z362" s="30"/>
      <c r="AA362" s="30"/>
      <c r="AB362" s="30"/>
      <c r="AC362" s="31"/>
      <c r="AD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</row>
    <row r="363" spans="2:48" ht="12.75" hidden="1">
      <c r="B363"/>
      <c r="C363" s="187"/>
      <c r="D363" s="191">
        <v>0</v>
      </c>
      <c r="E363" s="272"/>
      <c r="F363" s="272"/>
      <c r="G363" s="330">
        <v>0</v>
      </c>
      <c r="H363" s="83"/>
      <c r="I363" s="12"/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54">
        <f t="shared" si="26"/>
        <v>0</v>
      </c>
      <c r="U363" s="155"/>
      <c r="V363" s="243"/>
      <c r="W363" s="30"/>
      <c r="X363" s="30"/>
      <c r="Y363" s="30"/>
      <c r="Z363" s="30"/>
      <c r="AA363" s="30"/>
      <c r="AB363" s="30"/>
      <c r="AC363" s="31"/>
      <c r="AD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</row>
    <row r="364" spans="2:48" ht="12.75" hidden="1">
      <c r="B364"/>
      <c r="C364" s="187" t="s">
        <v>464</v>
      </c>
      <c r="D364" s="191">
        <v>0</v>
      </c>
      <c r="E364" s="272"/>
      <c r="F364" s="272"/>
      <c r="G364" s="330">
        <v>0</v>
      </c>
      <c r="H364" s="83"/>
      <c r="I364" s="12"/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54">
        <f t="shared" si="26"/>
        <v>0</v>
      </c>
      <c r="U364" s="155"/>
      <c r="V364" s="243"/>
      <c r="W364" s="30"/>
      <c r="X364" s="30"/>
      <c r="Y364" s="30"/>
      <c r="Z364" s="30"/>
      <c r="AA364" s="30"/>
      <c r="AB364" s="30"/>
      <c r="AC364" s="31"/>
      <c r="AD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</row>
    <row r="365" spans="2:48" ht="12.75" hidden="1">
      <c r="B365" t="s">
        <v>465</v>
      </c>
      <c r="C365" s="187" t="s">
        <v>466</v>
      </c>
      <c r="D365" s="191">
        <v>0.002</v>
      </c>
      <c r="E365" s="272"/>
      <c r="F365" s="272"/>
      <c r="G365" s="330">
        <v>0.002</v>
      </c>
      <c r="H365" s="83">
        <v>0.002</v>
      </c>
      <c r="I365" s="12"/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54">
        <f t="shared" si="26"/>
        <v>0.002</v>
      </c>
      <c r="U365" s="155"/>
      <c r="V365" s="243"/>
      <c r="W365" s="30"/>
      <c r="X365" s="30"/>
      <c r="Y365" s="30"/>
      <c r="Z365" s="30"/>
      <c r="AA365" s="30"/>
      <c r="AB365" s="30"/>
      <c r="AC365" s="31"/>
      <c r="AD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</row>
    <row r="366" spans="2:48" ht="12.75" hidden="1">
      <c r="B366" t="s">
        <v>160</v>
      </c>
      <c r="C366" s="187" t="s">
        <v>161</v>
      </c>
      <c r="D366" s="191">
        <v>0.001</v>
      </c>
      <c r="E366" s="272"/>
      <c r="F366" s="272"/>
      <c r="G366" s="330">
        <v>0.001</v>
      </c>
      <c r="H366" s="83"/>
      <c r="I366" s="12"/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54">
        <f t="shared" si="26"/>
        <v>0</v>
      </c>
      <c r="U366" s="155"/>
      <c r="V366" s="243"/>
      <c r="W366" s="30"/>
      <c r="X366" s="30"/>
      <c r="Y366" s="30"/>
      <c r="Z366" s="30"/>
      <c r="AA366" s="30"/>
      <c r="AB366" s="30"/>
      <c r="AC366" s="31"/>
      <c r="AD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</row>
    <row r="367" spans="2:48" ht="12.75" hidden="1">
      <c r="B367" t="s">
        <v>467</v>
      </c>
      <c r="C367" s="187" t="s">
        <v>468</v>
      </c>
      <c r="D367" s="191">
        <v>0.011</v>
      </c>
      <c r="E367" s="272"/>
      <c r="F367" s="272"/>
      <c r="G367" s="330">
        <v>0</v>
      </c>
      <c r="H367" s="83"/>
      <c r="I367" s="12"/>
      <c r="J367" s="12">
        <v>0</v>
      </c>
      <c r="K367" s="12">
        <v>0.011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54">
        <f t="shared" si="26"/>
        <v>0.011</v>
      </c>
      <c r="U367" s="155"/>
      <c r="V367" s="243"/>
      <c r="W367" s="30"/>
      <c r="X367" s="30"/>
      <c r="Y367" s="30"/>
      <c r="Z367" s="30"/>
      <c r="AA367" s="30"/>
      <c r="AB367" s="30"/>
      <c r="AC367" s="31"/>
      <c r="AD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</row>
    <row r="368" spans="2:48" ht="12.75" hidden="1">
      <c r="B368" t="s">
        <v>469</v>
      </c>
      <c r="C368" s="187" t="s">
        <v>470</v>
      </c>
      <c r="D368" s="191">
        <v>0</v>
      </c>
      <c r="E368" s="272"/>
      <c r="F368" s="272"/>
      <c r="G368" s="330">
        <v>0</v>
      </c>
      <c r="H368" s="83"/>
      <c r="I368" s="12"/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54">
        <f t="shared" si="26"/>
        <v>0</v>
      </c>
      <c r="U368" s="155"/>
      <c r="V368" s="243"/>
      <c r="W368" s="30"/>
      <c r="X368" s="30"/>
      <c r="Y368" s="30"/>
      <c r="Z368" s="30"/>
      <c r="AA368" s="30"/>
      <c r="AB368" s="30"/>
      <c r="AC368" s="31"/>
      <c r="AD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</row>
    <row r="369" spans="2:48" ht="12.75" hidden="1">
      <c r="B369" t="s">
        <v>471</v>
      </c>
      <c r="C369" s="187" t="s">
        <v>472</v>
      </c>
      <c r="D369" s="191">
        <v>0</v>
      </c>
      <c r="E369" s="272"/>
      <c r="F369" s="272"/>
      <c r="G369" s="330">
        <v>0</v>
      </c>
      <c r="H369" s="83"/>
      <c r="I369" s="12"/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54">
        <f t="shared" si="26"/>
        <v>0</v>
      </c>
      <c r="U369" s="155"/>
      <c r="V369" s="243"/>
      <c r="W369" s="30"/>
      <c r="X369" s="30"/>
      <c r="Y369" s="30"/>
      <c r="Z369" s="30"/>
      <c r="AA369" s="30"/>
      <c r="AB369" s="30"/>
      <c r="AC369" s="31"/>
      <c r="AD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</row>
    <row r="370" spans="2:48" ht="12.75" hidden="1">
      <c r="B370" t="s">
        <v>473</v>
      </c>
      <c r="C370" s="187" t="s">
        <v>474</v>
      </c>
      <c r="D370" s="191">
        <v>0</v>
      </c>
      <c r="E370" s="272"/>
      <c r="F370" s="272"/>
      <c r="G370" s="330">
        <v>0</v>
      </c>
      <c r="H370" s="83"/>
      <c r="I370" s="12"/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54">
        <f t="shared" si="26"/>
        <v>0</v>
      </c>
      <c r="U370" s="155"/>
      <c r="V370" s="243"/>
      <c r="W370" s="30"/>
      <c r="X370" s="30"/>
      <c r="Y370" s="30"/>
      <c r="Z370" s="30"/>
      <c r="AA370" s="30"/>
      <c r="AB370" s="30"/>
      <c r="AC370" s="31"/>
      <c r="AD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</row>
    <row r="371" spans="2:48" ht="12.75" hidden="1">
      <c r="B371" t="s">
        <v>475</v>
      </c>
      <c r="C371" s="187" t="s">
        <v>476</v>
      </c>
      <c r="D371" s="191">
        <v>0</v>
      </c>
      <c r="E371" s="272"/>
      <c r="F371" s="272"/>
      <c r="G371" s="330">
        <v>0</v>
      </c>
      <c r="H371" s="83"/>
      <c r="I371" s="12"/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54">
        <f t="shared" si="26"/>
        <v>0</v>
      </c>
      <c r="U371" s="155"/>
      <c r="V371" s="243"/>
      <c r="W371" s="30"/>
      <c r="X371" s="30"/>
      <c r="Y371" s="30"/>
      <c r="Z371" s="30"/>
      <c r="AA371" s="30"/>
      <c r="AB371" s="30"/>
      <c r="AC371" s="31"/>
      <c r="AD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</row>
    <row r="372" spans="1:49" ht="13.5" thickBot="1">
      <c r="A372" s="27" t="s">
        <v>488</v>
      </c>
      <c r="B372" s="181" t="s">
        <v>858</v>
      </c>
      <c r="C372" s="20" t="s">
        <v>777</v>
      </c>
      <c r="D372" s="36">
        <v>-1.622</v>
      </c>
      <c r="E372" s="270"/>
      <c r="F372" s="270"/>
      <c r="G372" s="5"/>
      <c r="H372" s="45"/>
      <c r="S372" s="6">
        <f>D372</f>
        <v>-1.622</v>
      </c>
      <c r="T372" s="154">
        <f t="shared" si="26"/>
        <v>0</v>
      </c>
      <c r="U372" s="155"/>
      <c r="V372" s="243"/>
      <c r="W372" s="30">
        <f>2</f>
        <v>2</v>
      </c>
      <c r="X372" s="30"/>
      <c r="Y372" s="30"/>
      <c r="Z372" s="30">
        <v>1</v>
      </c>
      <c r="AA372" s="30"/>
      <c r="AB372" s="30">
        <f>AV372</f>
        <v>16.887</v>
      </c>
      <c r="AC372" s="31"/>
      <c r="AD372" s="31">
        <f>SUM(W372:AC372)</f>
        <v>19.887</v>
      </c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>
        <v>0.04</v>
      </c>
      <c r="AQ372" s="31"/>
      <c r="AR372" s="31"/>
      <c r="AS372" s="31"/>
      <c r="AT372" s="31"/>
      <c r="AU372" s="31">
        <f>16+0.3+0.547</f>
        <v>16.847</v>
      </c>
      <c r="AV372" s="31">
        <f>SUM(AF372:AU372)</f>
        <v>16.887</v>
      </c>
      <c r="AW372" s="27" t="s">
        <v>923</v>
      </c>
    </row>
    <row r="373" spans="3:48" ht="12.75">
      <c r="C373" s="7" t="s">
        <v>675</v>
      </c>
      <c r="D373" s="95">
        <f>D20+D63+D79+D126+D151+D186+D221+D238+D263+D288+D317+D372</f>
        <v>19.886999999999997</v>
      </c>
      <c r="E373" s="130"/>
      <c r="F373" s="276"/>
      <c r="G373" s="95">
        <f aca="true" t="shared" si="27" ref="G373:T373">G20+G63+G79+G126+G151+G186+G221+G238+G263+G288+G317+G372</f>
        <v>7.2219999999999995</v>
      </c>
      <c r="H373" s="112">
        <f t="shared" si="27"/>
        <v>0.235</v>
      </c>
      <c r="I373" s="112">
        <f t="shared" si="27"/>
        <v>0</v>
      </c>
      <c r="J373" s="112">
        <f t="shared" si="27"/>
        <v>2.145</v>
      </c>
      <c r="K373" s="112">
        <f t="shared" si="27"/>
        <v>3.4839999999999995</v>
      </c>
      <c r="L373" s="112">
        <f t="shared" si="27"/>
        <v>2.645</v>
      </c>
      <c r="M373" s="112">
        <f t="shared" si="27"/>
        <v>2.5219999999999994</v>
      </c>
      <c r="N373" s="112">
        <f t="shared" si="27"/>
        <v>1.8729999999999998</v>
      </c>
      <c r="O373" s="112">
        <f t="shared" si="27"/>
        <v>1.5269999999999997</v>
      </c>
      <c r="P373" s="112">
        <f t="shared" si="27"/>
        <v>1.3760000000000001</v>
      </c>
      <c r="Q373" s="112">
        <f t="shared" si="27"/>
        <v>1.069</v>
      </c>
      <c r="R373" s="112">
        <f t="shared" si="27"/>
        <v>1.1500000000000001</v>
      </c>
      <c r="S373" s="112">
        <f t="shared" si="27"/>
        <v>3.4699999999999998</v>
      </c>
      <c r="T373" s="13">
        <f t="shared" si="27"/>
        <v>8.509</v>
      </c>
      <c r="U373" s="46"/>
      <c r="V373" s="243"/>
      <c r="W373" s="13">
        <f aca="true" t="shared" si="28" ref="W373:AD373">W20+W63+W79+W126+W151+W186+W221+W238+W263+W288+W317+W372</f>
        <v>2</v>
      </c>
      <c r="X373" s="13">
        <f t="shared" si="28"/>
        <v>0</v>
      </c>
      <c r="Y373" s="13">
        <f t="shared" si="28"/>
        <v>0</v>
      </c>
      <c r="Z373" s="13">
        <f t="shared" si="28"/>
        <v>1</v>
      </c>
      <c r="AA373" s="13">
        <f t="shared" si="28"/>
        <v>0</v>
      </c>
      <c r="AB373" s="13">
        <f t="shared" si="28"/>
        <v>16.887</v>
      </c>
      <c r="AC373" s="13">
        <f t="shared" si="28"/>
        <v>0</v>
      </c>
      <c r="AD373" s="13">
        <f t="shared" si="28"/>
        <v>19.887</v>
      </c>
      <c r="AE373" s="112"/>
      <c r="AF373" s="13">
        <f aca="true" t="shared" si="29" ref="AF373:AV373">AF20+AF63+AF79+AF126+AF151+AF186+AF221+AF238+AF263+AF288+AF317+AF372</f>
        <v>0</v>
      </c>
      <c r="AG373" s="13">
        <f t="shared" si="29"/>
        <v>0</v>
      </c>
      <c r="AH373" s="13">
        <f t="shared" si="29"/>
        <v>0</v>
      </c>
      <c r="AI373" s="13">
        <f t="shared" si="29"/>
        <v>0</v>
      </c>
      <c r="AJ373" s="13">
        <f t="shared" si="29"/>
        <v>0</v>
      </c>
      <c r="AK373" s="13">
        <f t="shared" si="29"/>
        <v>0</v>
      </c>
      <c r="AL373" s="13">
        <f t="shared" si="29"/>
        <v>0</v>
      </c>
      <c r="AM373" s="13">
        <f t="shared" si="29"/>
        <v>0</v>
      </c>
      <c r="AN373" s="13">
        <f t="shared" si="29"/>
        <v>0</v>
      </c>
      <c r="AO373" s="13">
        <f t="shared" si="29"/>
        <v>0</v>
      </c>
      <c r="AP373" s="13">
        <f t="shared" si="29"/>
        <v>0.04</v>
      </c>
      <c r="AQ373" s="13">
        <f t="shared" si="29"/>
        <v>0</v>
      </c>
      <c r="AR373" s="13">
        <f t="shared" si="29"/>
        <v>0</v>
      </c>
      <c r="AS373" s="13">
        <f t="shared" si="29"/>
        <v>0</v>
      </c>
      <c r="AT373" s="13">
        <f t="shared" si="29"/>
        <v>0</v>
      </c>
      <c r="AU373" s="13">
        <f t="shared" si="29"/>
        <v>16.847</v>
      </c>
      <c r="AV373" s="13">
        <f t="shared" si="29"/>
        <v>16.887</v>
      </c>
    </row>
    <row r="374" spans="3:48" ht="13.5" thickBot="1">
      <c r="C374" s="5"/>
      <c r="D374" s="86"/>
      <c r="E374" s="267"/>
      <c r="F374" s="269"/>
      <c r="G374" s="333"/>
      <c r="H374" s="83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62"/>
      <c r="U374" s="83"/>
      <c r="V374" s="243"/>
      <c r="W374" s="30"/>
      <c r="X374" s="30"/>
      <c r="Y374" s="30"/>
      <c r="Z374" s="30"/>
      <c r="AA374" s="30"/>
      <c r="AB374" s="30"/>
      <c r="AC374" s="31"/>
      <c r="AD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</row>
    <row r="375" spans="3:48" ht="13.5" thickBot="1">
      <c r="C375" s="7" t="s">
        <v>755</v>
      </c>
      <c r="D375" s="44">
        <f>D16+D373</f>
        <v>53.70899999999999</v>
      </c>
      <c r="E375" s="277"/>
      <c r="F375" s="278"/>
      <c r="G375" s="19">
        <f aca="true" t="shared" si="30" ref="G375:T375">G16+G373</f>
        <v>16.961999999999996</v>
      </c>
      <c r="H375" s="88">
        <f t="shared" si="30"/>
        <v>0.235</v>
      </c>
      <c r="I375" s="22">
        <f t="shared" si="30"/>
        <v>0</v>
      </c>
      <c r="J375" s="22">
        <f t="shared" si="30"/>
        <v>2.145</v>
      </c>
      <c r="K375" s="22">
        <f t="shared" si="30"/>
        <v>3.4839999999999995</v>
      </c>
      <c r="L375" s="22">
        <f t="shared" si="30"/>
        <v>2.645</v>
      </c>
      <c r="M375" s="22">
        <f t="shared" si="30"/>
        <v>2.5219999999999994</v>
      </c>
      <c r="N375" s="22">
        <f t="shared" si="30"/>
        <v>1.8729999999999998</v>
      </c>
      <c r="O375" s="22">
        <f t="shared" si="30"/>
        <v>1.5269999999999997</v>
      </c>
      <c r="P375" s="22">
        <f t="shared" si="30"/>
        <v>1.3760000000000001</v>
      </c>
      <c r="Q375" s="22">
        <f t="shared" si="30"/>
        <v>1.069</v>
      </c>
      <c r="R375" s="22">
        <f t="shared" si="30"/>
        <v>1.1500000000000001</v>
      </c>
      <c r="S375" s="22">
        <f t="shared" si="30"/>
        <v>3.4699999999999998</v>
      </c>
      <c r="T375" s="19">
        <f t="shared" si="30"/>
        <v>22.6015</v>
      </c>
      <c r="U375" s="46"/>
      <c r="V375" s="243"/>
      <c r="W375" s="24">
        <f aca="true" t="shared" si="31" ref="W375:AD375">W373+W16</f>
        <v>5.481</v>
      </c>
      <c r="X375" s="24">
        <f t="shared" si="31"/>
        <v>0</v>
      </c>
      <c r="Y375" s="24">
        <f t="shared" si="31"/>
        <v>0</v>
      </c>
      <c r="Z375" s="24">
        <f t="shared" si="31"/>
        <v>1</v>
      </c>
      <c r="AA375" s="24">
        <f t="shared" si="31"/>
        <v>7.129</v>
      </c>
      <c r="AB375" s="24">
        <f t="shared" si="31"/>
        <v>40.099000000000004</v>
      </c>
      <c r="AC375" s="24">
        <f t="shared" si="31"/>
        <v>0</v>
      </c>
      <c r="AD375" s="24">
        <f t="shared" si="31"/>
        <v>53.709</v>
      </c>
      <c r="AF375" s="33">
        <f aca="true" t="shared" si="32" ref="AF375:AV375">AF373+AF16</f>
        <v>0</v>
      </c>
      <c r="AG375" s="33">
        <f t="shared" si="32"/>
        <v>0.514</v>
      </c>
      <c r="AH375" s="33">
        <f t="shared" si="32"/>
        <v>0</v>
      </c>
      <c r="AI375" s="33">
        <f t="shared" si="32"/>
        <v>0</v>
      </c>
      <c r="AJ375" s="33">
        <f t="shared" si="32"/>
        <v>0</v>
      </c>
      <c r="AK375" s="33">
        <f t="shared" si="32"/>
        <v>0</v>
      </c>
      <c r="AL375" s="33">
        <f t="shared" si="32"/>
        <v>0</v>
      </c>
      <c r="AM375" s="33">
        <f t="shared" si="32"/>
        <v>0.6759999999999999</v>
      </c>
      <c r="AN375" s="33">
        <f t="shared" si="32"/>
        <v>1.5730000000000002</v>
      </c>
      <c r="AO375" s="33">
        <f t="shared" si="32"/>
        <v>0.679</v>
      </c>
      <c r="AP375" s="33">
        <f t="shared" si="32"/>
        <v>1.59</v>
      </c>
      <c r="AQ375" s="33">
        <f t="shared" si="32"/>
        <v>0</v>
      </c>
      <c r="AR375" s="33">
        <f t="shared" si="32"/>
        <v>0</v>
      </c>
      <c r="AS375" s="33">
        <f t="shared" si="32"/>
        <v>18.22</v>
      </c>
      <c r="AT375" s="33">
        <f t="shared" si="32"/>
        <v>0</v>
      </c>
      <c r="AU375" s="33">
        <f t="shared" si="32"/>
        <v>16.847</v>
      </c>
      <c r="AV375" s="33">
        <f t="shared" si="32"/>
        <v>40.099000000000004</v>
      </c>
    </row>
    <row r="376" spans="3:48" ht="12.75">
      <c r="C376" s="5"/>
      <c r="D376" s="86"/>
      <c r="E376" s="267"/>
      <c r="G376" s="333"/>
      <c r="H376" s="83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87"/>
      <c r="T376" s="87"/>
      <c r="U376" s="12"/>
      <c r="V376" s="243"/>
      <c r="W376" s="30"/>
      <c r="X376" s="30"/>
      <c r="Y376" s="30"/>
      <c r="Z376" s="30"/>
      <c r="AA376" s="30"/>
      <c r="AB376" s="30"/>
      <c r="AC376" s="31"/>
      <c r="AD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</row>
    <row r="377" spans="3:48" ht="12.75">
      <c r="C377" s="7" t="s">
        <v>563</v>
      </c>
      <c r="D377" s="5"/>
      <c r="E377" s="267"/>
      <c r="G377" s="333"/>
      <c r="H377" s="83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87"/>
      <c r="T377" s="9"/>
      <c r="U377" s="83"/>
      <c r="V377" s="243"/>
      <c r="W377" s="30"/>
      <c r="X377" s="30"/>
      <c r="Y377" s="30"/>
      <c r="Z377" s="30"/>
      <c r="AA377" s="30"/>
      <c r="AB377" s="30"/>
      <c r="AC377" s="31"/>
      <c r="AD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</row>
    <row r="378" spans="2:48" ht="12.75">
      <c r="B378" s="21"/>
      <c r="C378" s="45" t="s">
        <v>904</v>
      </c>
      <c r="D378" s="174">
        <v>0.022</v>
      </c>
      <c r="E378" s="298" t="s">
        <v>544</v>
      </c>
      <c r="F378" s="300" t="s">
        <v>545</v>
      </c>
      <c r="G378" s="87"/>
      <c r="H378" s="179">
        <v>0.004</v>
      </c>
      <c r="I378" s="176">
        <v>0.004</v>
      </c>
      <c r="J378" s="176">
        <v>0.005</v>
      </c>
      <c r="K378" s="176">
        <v>0.005</v>
      </c>
      <c r="L378" s="176">
        <v>0.004</v>
      </c>
      <c r="M378" s="176"/>
      <c r="N378" s="176"/>
      <c r="O378" s="201"/>
      <c r="P378" s="201"/>
      <c r="Q378" s="201"/>
      <c r="R378" s="201"/>
      <c r="S378" s="303"/>
      <c r="T378" s="154">
        <f aca="true" t="shared" si="33" ref="T378:T404">SUM(H378:L378)</f>
        <v>0.022000000000000002</v>
      </c>
      <c r="U378" s="155"/>
      <c r="V378" s="243"/>
      <c r="W378" s="30"/>
      <c r="X378" s="30"/>
      <c r="Y378" s="30"/>
      <c r="Z378" s="30"/>
      <c r="AB378" s="30">
        <f aca="true" t="shared" si="34" ref="AB378:AB394">SUM(AF378:AU378)</f>
        <v>0.022</v>
      </c>
      <c r="AC378" s="31"/>
      <c r="AD378" s="31">
        <f aca="true" t="shared" si="35" ref="AD378:AD396">SUM(W378:AC378)</f>
        <v>0.022</v>
      </c>
      <c r="AF378" s="31"/>
      <c r="AG378" s="31"/>
      <c r="AH378" s="31">
        <v>0.022</v>
      </c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>
        <f aca="true" t="shared" si="36" ref="AV378:AV394">SUM(AF378:AU378)</f>
        <v>0.022</v>
      </c>
    </row>
    <row r="379" spans="1:48" ht="12.75">
      <c r="A379" s="21"/>
      <c r="B379" s="21"/>
      <c r="C379" s="45" t="s">
        <v>742</v>
      </c>
      <c r="D379" s="20">
        <f>0.02+0.019-0.011</f>
        <v>0.028</v>
      </c>
      <c r="E379" s="298" t="s">
        <v>544</v>
      </c>
      <c r="F379" s="300" t="s">
        <v>545</v>
      </c>
      <c r="G379" s="87"/>
      <c r="H379" s="179"/>
      <c r="I379" s="176"/>
      <c r="J379" s="170"/>
      <c r="K379" s="176"/>
      <c r="L379" s="176"/>
      <c r="M379" s="176"/>
      <c r="N379" s="176"/>
      <c r="O379" s="201"/>
      <c r="P379" s="201"/>
      <c r="Q379" s="201"/>
      <c r="R379" s="201"/>
      <c r="S379" s="303">
        <v>0.028</v>
      </c>
      <c r="T379" s="154">
        <f t="shared" si="33"/>
        <v>0</v>
      </c>
      <c r="U379" s="155"/>
      <c r="V379" s="243"/>
      <c r="W379" s="30"/>
      <c r="X379" s="30"/>
      <c r="Y379" s="30"/>
      <c r="Z379" s="30"/>
      <c r="AB379" s="30">
        <f t="shared" si="34"/>
        <v>0.028</v>
      </c>
      <c r="AC379" s="31"/>
      <c r="AD379" s="31">
        <f t="shared" si="35"/>
        <v>0.028</v>
      </c>
      <c r="AF379" s="31"/>
      <c r="AG379" s="31"/>
      <c r="AH379" s="31"/>
      <c r="AI379" s="31">
        <f>0.02+0.019-0.011</f>
        <v>0.028</v>
      </c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>
        <f t="shared" si="36"/>
        <v>0.028</v>
      </c>
    </row>
    <row r="380" spans="1:48" ht="12.75">
      <c r="A380" s="21"/>
      <c r="B380" s="21"/>
      <c r="C380" s="45" t="s">
        <v>740</v>
      </c>
      <c r="D380" s="174">
        <f>0.087+0.094</f>
        <v>0.181</v>
      </c>
      <c r="E380" s="298" t="s">
        <v>544</v>
      </c>
      <c r="F380" s="300" t="s">
        <v>545</v>
      </c>
      <c r="G380" s="87"/>
      <c r="H380" s="179"/>
      <c r="I380" s="176"/>
      <c r="J380" s="176"/>
      <c r="K380" s="176"/>
      <c r="L380" s="170"/>
      <c r="M380" s="176"/>
      <c r="N380" s="176"/>
      <c r="O380" s="201"/>
      <c r="P380" s="201"/>
      <c r="Q380" s="201"/>
      <c r="R380" s="201"/>
      <c r="S380" s="303">
        <v>0.181</v>
      </c>
      <c r="T380" s="154">
        <f t="shared" si="33"/>
        <v>0</v>
      </c>
      <c r="U380" s="155"/>
      <c r="V380" s="243"/>
      <c r="W380" s="30"/>
      <c r="X380" s="30"/>
      <c r="Y380" s="30"/>
      <c r="Z380" s="30"/>
      <c r="AA380" s="6">
        <f>0.087+0.094</f>
        <v>0.181</v>
      </c>
      <c r="AB380" s="30">
        <f t="shared" si="34"/>
        <v>0</v>
      </c>
      <c r="AC380" s="31"/>
      <c r="AD380" s="31">
        <f t="shared" si="35"/>
        <v>0.181</v>
      </c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>
        <f t="shared" si="36"/>
        <v>0</v>
      </c>
    </row>
    <row r="381" spans="1:48" ht="12.75">
      <c r="A381" s="21"/>
      <c r="B381" s="21"/>
      <c r="C381" s="45" t="s">
        <v>741</v>
      </c>
      <c r="D381" s="174">
        <v>2.128</v>
      </c>
      <c r="E381" s="298" t="s">
        <v>544</v>
      </c>
      <c r="F381" s="300" t="s">
        <v>545</v>
      </c>
      <c r="G381" s="87">
        <v>0.656</v>
      </c>
      <c r="H381" s="179">
        <v>0.177</v>
      </c>
      <c r="I381" s="176">
        <v>0.178</v>
      </c>
      <c r="J381" s="176">
        <v>0.177</v>
      </c>
      <c r="K381" s="176">
        <v>0.178</v>
      </c>
      <c r="L381" s="176">
        <v>0.177</v>
      </c>
      <c r="M381" s="176">
        <v>0.177</v>
      </c>
      <c r="N381" s="176">
        <v>0.177</v>
      </c>
      <c r="O381" s="176">
        <v>0.177</v>
      </c>
      <c r="P381" s="176">
        <v>0.177</v>
      </c>
      <c r="Q381" s="176">
        <v>0.177</v>
      </c>
      <c r="R381" s="176">
        <v>0.178</v>
      </c>
      <c r="S381" s="302">
        <v>0.178</v>
      </c>
      <c r="T381" s="154">
        <f t="shared" si="33"/>
        <v>0.887</v>
      </c>
      <c r="U381" s="155"/>
      <c r="V381" s="243"/>
      <c r="W381" s="30"/>
      <c r="X381" s="30"/>
      <c r="Y381" s="30"/>
      <c r="Z381" s="30"/>
      <c r="AB381" s="30">
        <f t="shared" si="34"/>
        <v>2.128</v>
      </c>
      <c r="AC381" s="31"/>
      <c r="AD381" s="31">
        <f t="shared" si="35"/>
        <v>2.128</v>
      </c>
      <c r="AF381" s="31"/>
      <c r="AG381" s="31"/>
      <c r="AH381" s="31"/>
      <c r="AI381" s="31"/>
      <c r="AJ381" s="31"/>
      <c r="AK381" s="31">
        <v>2.128</v>
      </c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>
        <f t="shared" si="36"/>
        <v>2.128</v>
      </c>
    </row>
    <row r="382" spans="1:48" ht="12.75">
      <c r="A382" s="21"/>
      <c r="B382" s="21"/>
      <c r="C382" s="45" t="s">
        <v>739</v>
      </c>
      <c r="D382" s="174">
        <f>3.843-0.508-0.085</f>
        <v>3.25</v>
      </c>
      <c r="E382" s="298" t="s">
        <v>544</v>
      </c>
      <c r="F382" s="300" t="s">
        <v>546</v>
      </c>
      <c r="G382" s="87">
        <f>0.077-0.001+1.041</f>
        <v>1.117</v>
      </c>
      <c r="H382" s="179">
        <v>0.02</v>
      </c>
      <c r="I382" s="176">
        <v>0.02</v>
      </c>
      <c r="J382" s="176">
        <v>0.02</v>
      </c>
      <c r="K382" s="176">
        <v>0.023</v>
      </c>
      <c r="L382" s="176">
        <v>1.008</v>
      </c>
      <c r="M382" s="176">
        <v>0.381</v>
      </c>
      <c r="N382" s="176">
        <v>0.381</v>
      </c>
      <c r="O382" s="201">
        <v>0.381</v>
      </c>
      <c r="P382" s="201">
        <v>0.381</v>
      </c>
      <c r="Q382" s="201">
        <v>0.381</v>
      </c>
      <c r="R382" s="201">
        <v>0.381</v>
      </c>
      <c r="S382" s="303">
        <v>0.381</v>
      </c>
      <c r="T382" s="154">
        <f t="shared" si="33"/>
        <v>1.091</v>
      </c>
      <c r="U382" s="155"/>
      <c r="V382" s="243"/>
      <c r="W382" s="30"/>
      <c r="X382" s="30"/>
      <c r="Y382" s="30"/>
      <c r="Z382" s="30"/>
      <c r="AA382" s="6">
        <v>0.695</v>
      </c>
      <c r="AB382" s="30">
        <f t="shared" si="34"/>
        <v>2.5549999999999997</v>
      </c>
      <c r="AC382" s="31"/>
      <c r="AD382" s="31">
        <f t="shared" si="35"/>
        <v>3.2499999999999996</v>
      </c>
      <c r="AF382" s="31"/>
      <c r="AG382" s="31"/>
      <c r="AH382" s="31">
        <f>1.091+1.464</f>
        <v>2.5549999999999997</v>
      </c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>
        <f t="shared" si="36"/>
        <v>2.5549999999999997</v>
      </c>
    </row>
    <row r="383" spans="1:48" ht="12.75">
      <c r="A383" s="21"/>
      <c r="B383" s="21"/>
      <c r="C383" s="45" t="s">
        <v>907</v>
      </c>
      <c r="D383" s="174">
        <v>0.001</v>
      </c>
      <c r="E383" s="298" t="s">
        <v>544</v>
      </c>
      <c r="F383" s="300" t="s">
        <v>545</v>
      </c>
      <c r="G383" s="87"/>
      <c r="H383" s="179"/>
      <c r="I383" s="176"/>
      <c r="J383" s="176"/>
      <c r="K383" s="176"/>
      <c r="L383" s="176"/>
      <c r="M383" s="176"/>
      <c r="N383" s="176"/>
      <c r="O383" s="201"/>
      <c r="P383" s="201"/>
      <c r="Q383" s="201"/>
      <c r="R383" s="201"/>
      <c r="S383" s="303">
        <v>0.001</v>
      </c>
      <c r="T383" s="154">
        <f t="shared" si="33"/>
        <v>0</v>
      </c>
      <c r="U383" s="155"/>
      <c r="V383" s="243"/>
      <c r="W383" s="30"/>
      <c r="X383" s="30"/>
      <c r="Y383" s="30"/>
      <c r="Z383" s="30"/>
      <c r="AA383" s="6">
        <v>0.001</v>
      </c>
      <c r="AB383" s="30">
        <f t="shared" si="34"/>
        <v>0</v>
      </c>
      <c r="AC383" s="31"/>
      <c r="AD383" s="31">
        <f t="shared" si="35"/>
        <v>0.001</v>
      </c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>
        <f t="shared" si="36"/>
        <v>0</v>
      </c>
    </row>
    <row r="384" spans="1:48" ht="12.75">
      <c r="A384" s="21"/>
      <c r="B384" s="21"/>
      <c r="C384" s="45" t="s">
        <v>744</v>
      </c>
      <c r="D384" s="174">
        <f>0.005+0.018</f>
        <v>0.023</v>
      </c>
      <c r="E384" s="299"/>
      <c r="F384" s="300"/>
      <c r="G384" s="87"/>
      <c r="H384" s="179"/>
      <c r="I384" s="176"/>
      <c r="J384" s="176"/>
      <c r="K384" s="176"/>
      <c r="L384" s="176">
        <v>0.023</v>
      </c>
      <c r="M384" s="176"/>
      <c r="N384" s="176"/>
      <c r="O384" s="176"/>
      <c r="P384" s="176"/>
      <c r="Q384" s="176"/>
      <c r="R384" s="176"/>
      <c r="S384" s="302"/>
      <c r="T384" s="154">
        <f t="shared" si="33"/>
        <v>0.023</v>
      </c>
      <c r="U384" s="155"/>
      <c r="V384" s="243"/>
      <c r="W384" s="30"/>
      <c r="X384" s="30"/>
      <c r="Y384" s="30"/>
      <c r="Z384" s="30"/>
      <c r="AA384" s="6">
        <v>0.018</v>
      </c>
      <c r="AB384" s="30">
        <f t="shared" si="34"/>
        <v>0.005</v>
      </c>
      <c r="AC384" s="31"/>
      <c r="AD384" s="31">
        <f t="shared" si="35"/>
        <v>0.023</v>
      </c>
      <c r="AF384" s="31"/>
      <c r="AG384" s="31"/>
      <c r="AH384" s="31"/>
      <c r="AI384" s="31"/>
      <c r="AJ384" s="31"/>
      <c r="AK384" s="31">
        <v>0.005</v>
      </c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>
        <f t="shared" si="36"/>
        <v>0.005</v>
      </c>
    </row>
    <row r="385" spans="1:48" ht="12.75">
      <c r="A385" s="21"/>
      <c r="B385" s="21"/>
      <c r="C385" s="45" t="s">
        <v>846</v>
      </c>
      <c r="D385" s="20">
        <f>0.052+0.052-0.007</f>
        <v>0.09699999999999999</v>
      </c>
      <c r="E385" s="299"/>
      <c r="F385" s="300"/>
      <c r="G385" s="87"/>
      <c r="H385" s="179"/>
      <c r="I385" s="176"/>
      <c r="J385" s="176"/>
      <c r="K385" s="176"/>
      <c r="L385" s="176">
        <v>0.097</v>
      </c>
      <c r="M385" s="176"/>
      <c r="N385" s="176"/>
      <c r="O385" s="176"/>
      <c r="P385" s="201"/>
      <c r="Q385" s="201"/>
      <c r="R385" s="201"/>
      <c r="S385" s="303"/>
      <c r="T385" s="154">
        <f t="shared" si="33"/>
        <v>0.097</v>
      </c>
      <c r="U385" s="155"/>
      <c r="V385" s="243"/>
      <c r="W385" s="30"/>
      <c r="X385" s="30"/>
      <c r="Y385" s="30"/>
      <c r="Z385" s="30"/>
      <c r="AB385" s="30">
        <f t="shared" si="34"/>
        <v>0.09699999999999999</v>
      </c>
      <c r="AC385" s="31"/>
      <c r="AD385" s="31">
        <f t="shared" si="35"/>
        <v>0.09699999999999999</v>
      </c>
      <c r="AF385" s="31"/>
      <c r="AG385" s="31"/>
      <c r="AH385" s="31"/>
      <c r="AI385" s="31">
        <f>0.052+0.052-0.007</f>
        <v>0.09699999999999999</v>
      </c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>
        <f t="shared" si="36"/>
        <v>0.09699999999999999</v>
      </c>
    </row>
    <row r="386" spans="1:49" ht="12.75">
      <c r="A386" s="21"/>
      <c r="B386" s="21"/>
      <c r="C386" s="45" t="s">
        <v>847</v>
      </c>
      <c r="D386" s="174">
        <f>3.751-0.038+0.085</f>
        <v>3.798</v>
      </c>
      <c r="E386" s="299" t="s">
        <v>547</v>
      </c>
      <c r="F386" s="300" t="s">
        <v>548</v>
      </c>
      <c r="G386" s="87">
        <v>1.065</v>
      </c>
      <c r="H386" s="179">
        <v>0.02</v>
      </c>
      <c r="I386" s="176">
        <v>0.02</v>
      </c>
      <c r="J386" s="176">
        <v>0.02</v>
      </c>
      <c r="K386" s="176">
        <v>0.02</v>
      </c>
      <c r="L386" s="176">
        <v>0.023</v>
      </c>
      <c r="M386" s="176">
        <v>0.527</v>
      </c>
      <c r="N386" s="176">
        <v>0.527</v>
      </c>
      <c r="O386" s="176">
        <v>0.527</v>
      </c>
      <c r="P386" s="201">
        <v>0.527</v>
      </c>
      <c r="Q386" s="201">
        <v>0.527</v>
      </c>
      <c r="R386" s="201">
        <v>0.527</v>
      </c>
      <c r="S386" s="303">
        <v>0.533</v>
      </c>
      <c r="T386" s="154">
        <f t="shared" si="33"/>
        <v>0.10300000000000001</v>
      </c>
      <c r="U386" s="155"/>
      <c r="V386" s="243"/>
      <c r="W386" s="30">
        <v>0.499</v>
      </c>
      <c r="X386" s="30"/>
      <c r="Y386" s="30"/>
      <c r="Z386" s="30"/>
      <c r="AA386" s="6">
        <v>2.294</v>
      </c>
      <c r="AB386" s="30">
        <f t="shared" si="34"/>
        <v>0.982</v>
      </c>
      <c r="AC386" s="31">
        <f>0.061-0.038</f>
        <v>0.023</v>
      </c>
      <c r="AD386" s="31">
        <f t="shared" si="35"/>
        <v>3.7980000000000005</v>
      </c>
      <c r="AF386" s="31"/>
      <c r="AG386" s="31"/>
      <c r="AH386" s="31">
        <v>0.406</v>
      </c>
      <c r="AI386" s="31"/>
      <c r="AJ386" s="31"/>
      <c r="AK386" s="31">
        <v>0.473</v>
      </c>
      <c r="AL386" s="31">
        <v>0.103</v>
      </c>
      <c r="AM386" s="31"/>
      <c r="AN386" s="31"/>
      <c r="AO386" s="31"/>
      <c r="AP386" s="31"/>
      <c r="AQ386" s="31"/>
      <c r="AR386" s="31"/>
      <c r="AS386" s="31"/>
      <c r="AT386" s="31"/>
      <c r="AU386" s="31"/>
      <c r="AV386" s="31">
        <f t="shared" si="36"/>
        <v>0.982</v>
      </c>
      <c r="AW386" s="27" t="s">
        <v>1100</v>
      </c>
    </row>
    <row r="387" spans="1:48" ht="12.75">
      <c r="A387" s="21"/>
      <c r="B387" s="21" t="s">
        <v>1244</v>
      </c>
      <c r="C387" s="45" t="s">
        <v>808</v>
      </c>
      <c r="D387" s="174">
        <v>0.435</v>
      </c>
      <c r="E387" s="298" t="s">
        <v>544</v>
      </c>
      <c r="F387" s="300" t="s">
        <v>545</v>
      </c>
      <c r="G387" s="87">
        <v>0.109</v>
      </c>
      <c r="H387" s="179">
        <v>0.014</v>
      </c>
      <c r="I387" s="176">
        <v>0.014</v>
      </c>
      <c r="J387" s="176">
        <v>0.014</v>
      </c>
      <c r="K387" s="176">
        <v>0.014</v>
      </c>
      <c r="L387" s="176">
        <v>0.015</v>
      </c>
      <c r="M387" s="176">
        <v>0.052</v>
      </c>
      <c r="N387" s="176">
        <v>0.052</v>
      </c>
      <c r="O387" s="176">
        <v>0.052</v>
      </c>
      <c r="P387" s="201">
        <v>0.052</v>
      </c>
      <c r="Q387" s="201">
        <v>0.052</v>
      </c>
      <c r="R387" s="201">
        <v>0.052</v>
      </c>
      <c r="S387" s="303">
        <v>0.052</v>
      </c>
      <c r="T387" s="154">
        <f t="shared" si="33"/>
        <v>0.07100000000000001</v>
      </c>
      <c r="U387" s="155"/>
      <c r="V387" s="243"/>
      <c r="W387" s="30">
        <v>0.323</v>
      </c>
      <c r="X387" s="30"/>
      <c r="Y387" s="30"/>
      <c r="Z387" s="30"/>
      <c r="AA387" s="6">
        <v>0.041</v>
      </c>
      <c r="AB387" s="30">
        <f t="shared" si="34"/>
        <v>0.071</v>
      </c>
      <c r="AC387" s="31"/>
      <c r="AD387" s="31">
        <f t="shared" si="35"/>
        <v>0.435</v>
      </c>
      <c r="AF387" s="31"/>
      <c r="AG387" s="31"/>
      <c r="AH387" s="31">
        <v>0.071</v>
      </c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>
        <f t="shared" si="36"/>
        <v>0.071</v>
      </c>
    </row>
    <row r="388" spans="2:48" ht="12.75">
      <c r="B388" s="27" t="s">
        <v>229</v>
      </c>
      <c r="C388" s="45" t="s">
        <v>738</v>
      </c>
      <c r="D388" s="174">
        <f>0.093+0.068</f>
        <v>0.161</v>
      </c>
      <c r="E388" s="299" t="s">
        <v>547</v>
      </c>
      <c r="F388" s="300" t="s">
        <v>549</v>
      </c>
      <c r="G388" s="87">
        <v>0.062</v>
      </c>
      <c r="H388" s="179">
        <v>0.014</v>
      </c>
      <c r="I388" s="176">
        <v>0.014</v>
      </c>
      <c r="J388" s="176">
        <v>0.014</v>
      </c>
      <c r="K388" s="176">
        <v>0.014</v>
      </c>
      <c r="L388" s="176">
        <v>0.012</v>
      </c>
      <c r="M388" s="176">
        <v>0.013</v>
      </c>
      <c r="N388" s="176">
        <v>0.013</v>
      </c>
      <c r="O388" s="176">
        <v>0.013</v>
      </c>
      <c r="P388" s="176">
        <v>0.013</v>
      </c>
      <c r="Q388" s="176">
        <v>0.013</v>
      </c>
      <c r="R388" s="176">
        <v>0.013</v>
      </c>
      <c r="S388" s="302">
        <v>0.015</v>
      </c>
      <c r="T388" s="154">
        <f t="shared" si="33"/>
        <v>0.068</v>
      </c>
      <c r="U388" s="155"/>
      <c r="V388" s="243"/>
      <c r="W388" s="30"/>
      <c r="X388" s="30"/>
      <c r="Y388" s="30"/>
      <c r="Z388" s="30"/>
      <c r="AA388" s="6">
        <v>0.068</v>
      </c>
      <c r="AB388" s="30">
        <f t="shared" si="34"/>
        <v>0.093</v>
      </c>
      <c r="AC388" s="31"/>
      <c r="AD388" s="31">
        <f t="shared" si="35"/>
        <v>0.161</v>
      </c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>
        <v>0.093</v>
      </c>
      <c r="AV388" s="31">
        <f t="shared" si="36"/>
        <v>0.093</v>
      </c>
    </row>
    <row r="389" spans="2:48" ht="12.75">
      <c r="B389" s="21" t="s">
        <v>1246</v>
      </c>
      <c r="C389" s="45" t="s">
        <v>807</v>
      </c>
      <c r="D389" s="174">
        <f>0.005+0.287+0.014</f>
        <v>0.306</v>
      </c>
      <c r="E389" s="299" t="s">
        <v>550</v>
      </c>
      <c r="F389" s="300" t="s">
        <v>545</v>
      </c>
      <c r="G389" s="87">
        <v>0.029</v>
      </c>
      <c r="H389" s="179">
        <v>0.025</v>
      </c>
      <c r="I389" s="176">
        <v>0.025</v>
      </c>
      <c r="J389" s="176">
        <v>0.025</v>
      </c>
      <c r="K389" s="176">
        <v>0.025</v>
      </c>
      <c r="L389" s="176">
        <v>0.025</v>
      </c>
      <c r="M389" s="176">
        <v>0.026</v>
      </c>
      <c r="N389" s="176">
        <v>0.026</v>
      </c>
      <c r="O389" s="201">
        <v>0.026</v>
      </c>
      <c r="P389" s="201">
        <v>0.026</v>
      </c>
      <c r="Q389" s="201">
        <v>0.026</v>
      </c>
      <c r="R389" s="201">
        <v>0.026</v>
      </c>
      <c r="S389" s="303">
        <v>0.025</v>
      </c>
      <c r="T389" s="154">
        <f t="shared" si="33"/>
        <v>0.125</v>
      </c>
      <c r="U389" s="155"/>
      <c r="V389" s="243"/>
      <c r="W389" s="30"/>
      <c r="X389" s="30"/>
      <c r="Y389" s="30"/>
      <c r="Z389" s="30"/>
      <c r="AA389" s="6">
        <f>0.287+0.005+0.014</f>
        <v>0.306</v>
      </c>
      <c r="AB389" s="30">
        <f t="shared" si="34"/>
        <v>0</v>
      </c>
      <c r="AC389" s="31"/>
      <c r="AD389" s="31">
        <f t="shared" si="35"/>
        <v>0.306</v>
      </c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>
        <f t="shared" si="36"/>
        <v>0</v>
      </c>
    </row>
    <row r="390" spans="1:48" ht="12.75">
      <c r="A390" s="21"/>
      <c r="B390" s="21" t="s">
        <v>1247</v>
      </c>
      <c r="C390" s="45" t="s">
        <v>743</v>
      </c>
      <c r="D390" s="174">
        <v>0.322</v>
      </c>
      <c r="E390" s="299" t="s">
        <v>551</v>
      </c>
      <c r="F390" s="300" t="s">
        <v>552</v>
      </c>
      <c r="G390" s="87">
        <v>0.2</v>
      </c>
      <c r="H390" s="179">
        <v>0.026</v>
      </c>
      <c r="I390" s="176">
        <v>0.026</v>
      </c>
      <c r="J390" s="176">
        <v>0.026</v>
      </c>
      <c r="K390" s="176">
        <v>0.026</v>
      </c>
      <c r="L390" s="176">
        <v>0.026</v>
      </c>
      <c r="M390" s="176">
        <v>0.027</v>
      </c>
      <c r="N390" s="176">
        <v>0.027</v>
      </c>
      <c r="O390" s="176">
        <v>0.027</v>
      </c>
      <c r="P390" s="176">
        <v>0.027</v>
      </c>
      <c r="Q390" s="176">
        <v>0.027</v>
      </c>
      <c r="R390" s="176">
        <v>0.027</v>
      </c>
      <c r="S390" s="302">
        <v>0.03</v>
      </c>
      <c r="T390" s="154">
        <f t="shared" si="33"/>
        <v>0.13</v>
      </c>
      <c r="U390" s="155"/>
      <c r="V390" s="243"/>
      <c r="W390" s="30">
        <v>0.001</v>
      </c>
      <c r="X390" s="30"/>
      <c r="Y390" s="30"/>
      <c r="Z390" s="30"/>
      <c r="AA390" s="6">
        <v>0.321</v>
      </c>
      <c r="AB390" s="30">
        <f t="shared" si="34"/>
        <v>0</v>
      </c>
      <c r="AC390" s="31"/>
      <c r="AD390" s="31">
        <f t="shared" si="35"/>
        <v>0.322</v>
      </c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>
        <f t="shared" si="36"/>
        <v>0</v>
      </c>
    </row>
    <row r="391" spans="2:48" ht="15" customHeight="1">
      <c r="B391" s="27" t="s">
        <v>230</v>
      </c>
      <c r="C391" s="45" t="s">
        <v>819</v>
      </c>
      <c r="D391" s="174">
        <f>0.015+0.021</f>
        <v>0.036000000000000004</v>
      </c>
      <c r="E391" s="298" t="s">
        <v>544</v>
      </c>
      <c r="F391" s="300" t="s">
        <v>545</v>
      </c>
      <c r="G391" s="87">
        <v>0.005</v>
      </c>
      <c r="H391" s="179">
        <v>0.003</v>
      </c>
      <c r="I391" s="176">
        <v>0.003</v>
      </c>
      <c r="J391" s="176">
        <v>0.003</v>
      </c>
      <c r="K391" s="176">
        <v>0.003</v>
      </c>
      <c r="L391" s="176">
        <v>0.003</v>
      </c>
      <c r="M391" s="176">
        <v>0.003</v>
      </c>
      <c r="N391" s="176">
        <v>0.003</v>
      </c>
      <c r="O391" s="176">
        <v>0.003</v>
      </c>
      <c r="P391" s="176">
        <v>0.003</v>
      </c>
      <c r="Q391" s="176">
        <v>0.003</v>
      </c>
      <c r="R391" s="176">
        <v>0.003</v>
      </c>
      <c r="S391" s="302">
        <v>0.003</v>
      </c>
      <c r="T391" s="154">
        <f t="shared" si="33"/>
        <v>0.015</v>
      </c>
      <c r="U391" s="155"/>
      <c r="V391" s="243"/>
      <c r="W391" s="30"/>
      <c r="X391" s="30"/>
      <c r="Y391" s="30"/>
      <c r="Z391" s="30"/>
      <c r="AA391" s="30">
        <f>0.015+0.021</f>
        <v>0.036000000000000004</v>
      </c>
      <c r="AB391" s="30">
        <f t="shared" si="34"/>
        <v>0</v>
      </c>
      <c r="AC391" s="31"/>
      <c r="AD391" s="31">
        <f t="shared" si="35"/>
        <v>0.036000000000000004</v>
      </c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>
        <f t="shared" si="36"/>
        <v>0</v>
      </c>
    </row>
    <row r="392" spans="1:48" ht="12.75">
      <c r="A392" s="21"/>
      <c r="B392" s="21"/>
      <c r="C392" s="45" t="s">
        <v>908</v>
      </c>
      <c r="D392" s="174">
        <v>0.009</v>
      </c>
      <c r="E392" s="298" t="s">
        <v>544</v>
      </c>
      <c r="F392" s="300" t="s">
        <v>545</v>
      </c>
      <c r="G392" s="87">
        <v>0.011</v>
      </c>
      <c r="H392" s="179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302">
        <v>0.009</v>
      </c>
      <c r="T392" s="154">
        <f t="shared" si="33"/>
        <v>0</v>
      </c>
      <c r="U392" s="155"/>
      <c r="V392" s="243"/>
      <c r="W392" s="30"/>
      <c r="X392" s="30"/>
      <c r="Y392" s="30"/>
      <c r="Z392" s="30"/>
      <c r="AA392" s="6">
        <v>0.009</v>
      </c>
      <c r="AB392" s="30">
        <f t="shared" si="34"/>
        <v>0</v>
      </c>
      <c r="AC392" s="31"/>
      <c r="AD392" s="31">
        <f t="shared" si="35"/>
        <v>0.009</v>
      </c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>
        <f t="shared" si="36"/>
        <v>0</v>
      </c>
    </row>
    <row r="393" spans="1:48" ht="12.75">
      <c r="A393" s="21"/>
      <c r="B393" s="21" t="s">
        <v>1245</v>
      </c>
      <c r="C393" s="5" t="s">
        <v>909</v>
      </c>
      <c r="D393" s="174">
        <v>0.004</v>
      </c>
      <c r="E393" s="298" t="s">
        <v>544</v>
      </c>
      <c r="F393" s="300" t="s">
        <v>545</v>
      </c>
      <c r="G393" s="87">
        <v>0.001</v>
      </c>
      <c r="H393" s="179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302">
        <v>0.004</v>
      </c>
      <c r="T393" s="154">
        <f t="shared" si="33"/>
        <v>0</v>
      </c>
      <c r="U393" s="155"/>
      <c r="V393" s="243"/>
      <c r="W393" s="30"/>
      <c r="X393" s="30"/>
      <c r="Y393" s="30"/>
      <c r="Z393" s="30"/>
      <c r="AA393" s="30">
        <v>0.004</v>
      </c>
      <c r="AB393" s="30">
        <f t="shared" si="34"/>
        <v>0</v>
      </c>
      <c r="AC393" s="31"/>
      <c r="AD393" s="31">
        <f t="shared" si="35"/>
        <v>0.004</v>
      </c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>
        <f t="shared" si="36"/>
        <v>0</v>
      </c>
    </row>
    <row r="394" spans="1:48" ht="12.75">
      <c r="A394" s="21"/>
      <c r="B394" s="21"/>
      <c r="C394" s="5" t="s">
        <v>537</v>
      </c>
      <c r="D394" s="174">
        <v>1.506</v>
      </c>
      <c r="E394" s="298" t="s">
        <v>544</v>
      </c>
      <c r="F394" s="300" t="s">
        <v>545</v>
      </c>
      <c r="G394" s="12">
        <v>0.075</v>
      </c>
      <c r="H394" s="179">
        <v>0.01</v>
      </c>
      <c r="I394" s="176">
        <v>0.01</v>
      </c>
      <c r="J394" s="176">
        <v>0.02</v>
      </c>
      <c r="K394" s="176">
        <v>0.1</v>
      </c>
      <c r="L394" s="176">
        <v>0.1</v>
      </c>
      <c r="M394" s="176">
        <v>0.25</v>
      </c>
      <c r="N394" s="176">
        <v>0.25</v>
      </c>
      <c r="O394" s="176">
        <v>0.25</v>
      </c>
      <c r="P394" s="176">
        <v>0.15</v>
      </c>
      <c r="Q394" s="176">
        <v>0.15</v>
      </c>
      <c r="R394" s="176">
        <v>0.05</v>
      </c>
      <c r="S394" s="302">
        <f>0.046+0.12</f>
        <v>0.16599999999999998</v>
      </c>
      <c r="T394" s="154">
        <f t="shared" si="33"/>
        <v>0.24000000000000002</v>
      </c>
      <c r="U394" s="156"/>
      <c r="V394" s="243"/>
      <c r="W394" s="30"/>
      <c r="X394" s="30"/>
      <c r="Y394" s="30"/>
      <c r="Z394" s="30"/>
      <c r="AA394" s="30"/>
      <c r="AB394" s="30">
        <f t="shared" si="34"/>
        <v>1.506</v>
      </c>
      <c r="AD394" s="31">
        <f t="shared" si="35"/>
        <v>1.506</v>
      </c>
      <c r="AF394" s="31"/>
      <c r="AG394" s="31"/>
      <c r="AH394" s="31"/>
      <c r="AI394" s="31">
        <v>1.506</v>
      </c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>
        <f t="shared" si="36"/>
        <v>1.506</v>
      </c>
    </row>
    <row r="395" spans="1:48" ht="12.75">
      <c r="A395" s="21"/>
      <c r="B395" s="21"/>
      <c r="C395" s="5" t="s">
        <v>538</v>
      </c>
      <c r="D395" s="174">
        <v>0.23</v>
      </c>
      <c r="E395" s="298" t="s">
        <v>544</v>
      </c>
      <c r="F395" s="300" t="s">
        <v>545</v>
      </c>
      <c r="G395" s="12">
        <v>0.015</v>
      </c>
      <c r="H395" s="179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302">
        <v>0.23</v>
      </c>
      <c r="T395" s="154">
        <f t="shared" si="33"/>
        <v>0</v>
      </c>
      <c r="U395" s="156"/>
      <c r="V395" s="243">
        <v>38579</v>
      </c>
      <c r="W395" s="30"/>
      <c r="X395" s="30"/>
      <c r="Y395" s="30"/>
      <c r="Z395" s="30"/>
      <c r="AA395" s="30"/>
      <c r="AB395" s="30">
        <f aca="true" t="shared" si="37" ref="AB395:AB400">SUM(AF395:AU395)</f>
        <v>0.23</v>
      </c>
      <c r="AD395" s="31">
        <f t="shared" si="35"/>
        <v>0.23</v>
      </c>
      <c r="AF395" s="31"/>
      <c r="AG395" s="31"/>
      <c r="AH395" s="31"/>
      <c r="AI395" s="31">
        <v>0.23</v>
      </c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>
        <f aca="true" t="shared" si="38" ref="AV395:AV400">SUM(AF395:AU395)</f>
        <v>0.23</v>
      </c>
    </row>
    <row r="396" spans="1:48" ht="12.75">
      <c r="A396" s="21"/>
      <c r="B396" s="21"/>
      <c r="C396" s="5" t="s">
        <v>539</v>
      </c>
      <c r="D396" s="174">
        <v>0.235</v>
      </c>
      <c r="E396" s="298" t="s">
        <v>544</v>
      </c>
      <c r="F396" s="300" t="s">
        <v>545</v>
      </c>
      <c r="G396" s="87">
        <v>0.184</v>
      </c>
      <c r="H396" s="179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302">
        <v>0.235</v>
      </c>
      <c r="T396" s="154">
        <f t="shared" si="33"/>
        <v>0</v>
      </c>
      <c r="U396" s="155"/>
      <c r="V396" s="243" t="s">
        <v>939</v>
      </c>
      <c r="W396" s="30"/>
      <c r="X396" s="30"/>
      <c r="Y396" s="30"/>
      <c r="Z396" s="30"/>
      <c r="AA396" s="30"/>
      <c r="AB396" s="30">
        <f t="shared" si="37"/>
        <v>0.235</v>
      </c>
      <c r="AC396" s="31"/>
      <c r="AD396" s="31">
        <f t="shared" si="35"/>
        <v>0.235</v>
      </c>
      <c r="AF396" s="31"/>
      <c r="AG396" s="31"/>
      <c r="AH396" s="31"/>
      <c r="AI396" s="31">
        <v>0.235</v>
      </c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>
        <f t="shared" si="38"/>
        <v>0.235</v>
      </c>
    </row>
    <row r="397" spans="1:48" ht="12.75">
      <c r="A397" s="21"/>
      <c r="B397" s="21"/>
      <c r="C397" s="5" t="s">
        <v>540</v>
      </c>
      <c r="D397" s="174">
        <v>0.129</v>
      </c>
      <c r="E397" s="298" t="s">
        <v>544</v>
      </c>
      <c r="F397" s="300" t="s">
        <v>545</v>
      </c>
      <c r="G397" s="12">
        <v>0.017</v>
      </c>
      <c r="H397" s="179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302">
        <v>0.129</v>
      </c>
      <c r="T397" s="154">
        <f t="shared" si="33"/>
        <v>0</v>
      </c>
      <c r="U397" s="156"/>
      <c r="V397" s="243"/>
      <c r="W397" s="30"/>
      <c r="X397" s="30"/>
      <c r="Y397" s="30"/>
      <c r="Z397" s="30"/>
      <c r="AA397" s="30"/>
      <c r="AB397" s="30">
        <f t="shared" si="37"/>
        <v>0.129</v>
      </c>
      <c r="AD397" s="31">
        <f aca="true" t="shared" si="39" ref="AD397:AD404">SUM(W397:AC397)</f>
        <v>0.129</v>
      </c>
      <c r="AF397" s="31"/>
      <c r="AG397" s="31"/>
      <c r="AH397" s="31"/>
      <c r="AI397" s="31">
        <v>0.129</v>
      </c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>
        <f t="shared" si="38"/>
        <v>0.129</v>
      </c>
    </row>
    <row r="398" spans="1:48" ht="12.75">
      <c r="A398" s="21"/>
      <c r="B398" s="21"/>
      <c r="C398" s="5" t="s">
        <v>541</v>
      </c>
      <c r="D398" s="174">
        <v>0.5</v>
      </c>
      <c r="E398" s="298" t="s">
        <v>544</v>
      </c>
      <c r="F398" s="300" t="s">
        <v>545</v>
      </c>
      <c r="G398" s="12">
        <v>0.039</v>
      </c>
      <c r="H398" s="179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302">
        <v>0.5</v>
      </c>
      <c r="T398" s="154">
        <f t="shared" si="33"/>
        <v>0</v>
      </c>
      <c r="U398" s="156"/>
      <c r="V398" s="243"/>
      <c r="W398" s="30"/>
      <c r="X398" s="30"/>
      <c r="Y398" s="30"/>
      <c r="Z398" s="30"/>
      <c r="AA398" s="30"/>
      <c r="AB398" s="30">
        <f t="shared" si="37"/>
        <v>0.5</v>
      </c>
      <c r="AD398" s="31">
        <f t="shared" si="39"/>
        <v>0.5</v>
      </c>
      <c r="AF398" s="31"/>
      <c r="AG398" s="31"/>
      <c r="AH398" s="31"/>
      <c r="AI398" s="31">
        <v>0.5</v>
      </c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>
        <f t="shared" si="38"/>
        <v>0.5</v>
      </c>
    </row>
    <row r="399" spans="1:48" ht="12.75">
      <c r="A399" s="21"/>
      <c r="B399" s="21"/>
      <c r="C399" s="5" t="s">
        <v>543</v>
      </c>
      <c r="D399" s="174">
        <v>0.5</v>
      </c>
      <c r="E399" s="298" t="s">
        <v>544</v>
      </c>
      <c r="F399" s="300" t="s">
        <v>545</v>
      </c>
      <c r="G399" s="12"/>
      <c r="H399" s="179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302">
        <v>0.5</v>
      </c>
      <c r="T399" s="154">
        <f t="shared" si="33"/>
        <v>0</v>
      </c>
      <c r="U399" s="156"/>
      <c r="V399" s="243"/>
      <c r="W399" s="30"/>
      <c r="X399" s="30"/>
      <c r="Y399" s="30"/>
      <c r="Z399" s="30"/>
      <c r="AA399" s="30"/>
      <c r="AB399" s="30">
        <f t="shared" si="37"/>
        <v>0.5</v>
      </c>
      <c r="AD399" s="31">
        <f t="shared" si="39"/>
        <v>0.5</v>
      </c>
      <c r="AF399" s="31"/>
      <c r="AG399" s="31"/>
      <c r="AH399" s="31"/>
      <c r="AI399" s="31">
        <v>0.5</v>
      </c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>
        <f t="shared" si="38"/>
        <v>0.5</v>
      </c>
    </row>
    <row r="400" spans="1:48" ht="12.75">
      <c r="A400" s="21"/>
      <c r="B400" s="21"/>
      <c r="C400" s="5" t="s">
        <v>542</v>
      </c>
      <c r="D400" s="174">
        <v>0.5</v>
      </c>
      <c r="E400" s="298" t="s">
        <v>544</v>
      </c>
      <c r="F400" s="300" t="s">
        <v>545</v>
      </c>
      <c r="G400" s="12"/>
      <c r="H400" s="179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302">
        <v>0.5</v>
      </c>
      <c r="T400" s="154">
        <f t="shared" si="33"/>
        <v>0</v>
      </c>
      <c r="U400" s="156"/>
      <c r="V400" s="243"/>
      <c r="W400" s="30"/>
      <c r="X400" s="30"/>
      <c r="Y400" s="30"/>
      <c r="Z400" s="30"/>
      <c r="AA400" s="30"/>
      <c r="AB400" s="30">
        <f t="shared" si="37"/>
        <v>0.5</v>
      </c>
      <c r="AD400" s="31">
        <f t="shared" si="39"/>
        <v>0.5</v>
      </c>
      <c r="AF400" s="31"/>
      <c r="AG400" s="31"/>
      <c r="AH400" s="31"/>
      <c r="AI400" s="31">
        <v>0.5</v>
      </c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>
        <f t="shared" si="38"/>
        <v>0.5</v>
      </c>
    </row>
    <row r="401" spans="1:48" ht="12.75">
      <c r="A401" s="21"/>
      <c r="B401" s="21" t="s">
        <v>231</v>
      </c>
      <c r="C401" s="45" t="s">
        <v>745</v>
      </c>
      <c r="D401" s="174">
        <f>0.2-0.062-0.009</f>
        <v>0.129</v>
      </c>
      <c r="E401" s="298" t="s">
        <v>544</v>
      </c>
      <c r="F401" s="300" t="s">
        <v>552</v>
      </c>
      <c r="G401" s="87">
        <f>0.099+0.029</f>
        <v>0.128</v>
      </c>
      <c r="H401" s="179">
        <v>0.025</v>
      </c>
      <c r="I401" s="176">
        <v>0.025</v>
      </c>
      <c r="J401" s="176">
        <v>0.025</v>
      </c>
      <c r="K401" s="176">
        <v>0.025</v>
      </c>
      <c r="L401" s="176">
        <v>0.029</v>
      </c>
      <c r="M401" s="176"/>
      <c r="N401" s="176"/>
      <c r="O401" s="176"/>
      <c r="P401" s="176"/>
      <c r="Q401" s="176"/>
      <c r="R401" s="176"/>
      <c r="S401" s="302"/>
      <c r="T401" s="154">
        <f t="shared" si="33"/>
        <v>0.129</v>
      </c>
      <c r="U401" s="155"/>
      <c r="V401" s="243"/>
      <c r="W401" s="30"/>
      <c r="X401" s="30"/>
      <c r="Y401" s="30"/>
      <c r="Z401" s="30"/>
      <c r="AB401" s="30">
        <f>SUM(AF401:AU401)</f>
        <v>0.129</v>
      </c>
      <c r="AC401" s="31"/>
      <c r="AD401" s="31">
        <f t="shared" si="39"/>
        <v>0.129</v>
      </c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>
        <f>0.2-0.062-0.009</f>
        <v>0.129</v>
      </c>
      <c r="AV401" s="31">
        <f>SUM(AF401:AU401)</f>
        <v>0.129</v>
      </c>
    </row>
    <row r="402" spans="1:48" ht="12.75">
      <c r="A402" s="21"/>
      <c r="B402" s="21" t="s">
        <v>1243</v>
      </c>
      <c r="C402" s="45" t="s">
        <v>905</v>
      </c>
      <c r="D402" s="174">
        <v>0.01</v>
      </c>
      <c r="E402" s="298" t="s">
        <v>544</v>
      </c>
      <c r="F402" s="300" t="s">
        <v>553</v>
      </c>
      <c r="G402" s="87">
        <v>0.029</v>
      </c>
      <c r="H402" s="179">
        <v>0.002</v>
      </c>
      <c r="I402" s="176">
        <v>0.002</v>
      </c>
      <c r="J402" s="176">
        <v>0.002</v>
      </c>
      <c r="K402" s="176">
        <v>0.002</v>
      </c>
      <c r="L402" s="176">
        <v>0.002</v>
      </c>
      <c r="M402" s="176"/>
      <c r="N402" s="176"/>
      <c r="O402" s="176"/>
      <c r="P402" s="176"/>
      <c r="Q402" s="176"/>
      <c r="R402" s="176"/>
      <c r="S402" s="302"/>
      <c r="T402" s="154">
        <f t="shared" si="33"/>
        <v>0.01</v>
      </c>
      <c r="U402" s="155"/>
      <c r="V402" s="243"/>
      <c r="W402" s="30"/>
      <c r="X402" s="30"/>
      <c r="Y402" s="30"/>
      <c r="Z402" s="30"/>
      <c r="AB402" s="30">
        <f>SUM(AF402:AU402)</f>
        <v>0.01</v>
      </c>
      <c r="AC402" s="31"/>
      <c r="AD402" s="31">
        <f t="shared" si="39"/>
        <v>0.01</v>
      </c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>
        <v>0.01</v>
      </c>
      <c r="AV402" s="31">
        <f>SUM(AF402:AU402)</f>
        <v>0.01</v>
      </c>
    </row>
    <row r="403" spans="1:48" ht="12.75">
      <c r="A403" s="21"/>
      <c r="B403" s="21"/>
      <c r="C403" s="45" t="s">
        <v>938</v>
      </c>
      <c r="D403" s="174">
        <v>0.002</v>
      </c>
      <c r="E403" s="298"/>
      <c r="F403" s="300"/>
      <c r="G403" s="87"/>
      <c r="H403" s="179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302"/>
      <c r="T403" s="154">
        <f t="shared" si="33"/>
        <v>0</v>
      </c>
      <c r="U403" s="155"/>
      <c r="V403" s="243"/>
      <c r="W403" s="30"/>
      <c r="X403" s="30"/>
      <c r="Y403" s="30"/>
      <c r="Z403" s="30">
        <v>0.002</v>
      </c>
      <c r="AB403" s="30">
        <f>SUM(AF403:AU403)</f>
        <v>0</v>
      </c>
      <c r="AC403" s="31"/>
      <c r="AD403" s="31">
        <f t="shared" si="39"/>
        <v>0.002</v>
      </c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>
        <f>SUM(AF403:AU403)</f>
        <v>0</v>
      </c>
    </row>
    <row r="404" spans="1:48" ht="13.5" thickBot="1">
      <c r="A404" s="21"/>
      <c r="B404" s="21"/>
      <c r="C404" s="45" t="s">
        <v>1099</v>
      </c>
      <c r="D404" s="174">
        <f>0.091-0.005</f>
        <v>0.086</v>
      </c>
      <c r="E404" s="301" t="s">
        <v>544</v>
      </c>
      <c r="F404" s="322" t="s">
        <v>1101</v>
      </c>
      <c r="G404" s="162">
        <v>0.004</v>
      </c>
      <c r="H404" s="304"/>
      <c r="I404" s="305"/>
      <c r="J404" s="305"/>
      <c r="K404" s="305"/>
      <c r="L404" s="305"/>
      <c r="M404" s="305"/>
      <c r="N404" s="305"/>
      <c r="O404" s="305"/>
      <c r="P404" s="305"/>
      <c r="Q404" s="305"/>
      <c r="R404" s="305"/>
      <c r="S404" s="306">
        <v>0.091</v>
      </c>
      <c r="T404" s="154">
        <f t="shared" si="33"/>
        <v>0</v>
      </c>
      <c r="U404" s="155"/>
      <c r="V404" s="243"/>
      <c r="W404" s="30"/>
      <c r="X404" s="30"/>
      <c r="Y404" s="30"/>
      <c r="Z404" s="30"/>
      <c r="AB404" s="30">
        <f>SUM(AF404:AU404)</f>
        <v>0.086</v>
      </c>
      <c r="AC404" s="31"/>
      <c r="AD404" s="31">
        <f t="shared" si="39"/>
        <v>0.086</v>
      </c>
      <c r="AF404" s="31"/>
      <c r="AG404" s="31"/>
      <c r="AH404" s="31"/>
      <c r="AI404" s="31"/>
      <c r="AJ404" s="31">
        <f>0.091-0.005</f>
        <v>0.086</v>
      </c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>
        <f>SUM(AF404:AU404)</f>
        <v>0.086</v>
      </c>
    </row>
    <row r="405" spans="3:48" ht="13.5" thickBot="1">
      <c r="C405" s="7" t="s">
        <v>564</v>
      </c>
      <c r="D405" s="19">
        <f>SUM(D378:D404)</f>
        <v>14.627999999999998</v>
      </c>
      <c r="E405" s="265"/>
      <c r="F405" s="266"/>
      <c r="G405" s="19">
        <f>SUM(G378:G404)</f>
        <v>3.7460000000000004</v>
      </c>
      <c r="H405" s="119">
        <f>SUM(H378:H403)</f>
        <v>0.3400000000000001</v>
      </c>
      <c r="I405" s="115">
        <f>SUM(I378:I403)</f>
        <v>0.3410000000000001</v>
      </c>
      <c r="J405" s="115">
        <f aca="true" t="shared" si="40" ref="J405:R405">SUM(J378:J403)</f>
        <v>0.3510000000000001</v>
      </c>
      <c r="K405" s="115">
        <f t="shared" si="40"/>
        <v>0.43500000000000005</v>
      </c>
      <c r="L405" s="115">
        <f t="shared" si="40"/>
        <v>1.5439999999999996</v>
      </c>
      <c r="M405" s="115">
        <f t="shared" si="40"/>
        <v>1.4559999999999997</v>
      </c>
      <c r="N405" s="115">
        <f t="shared" si="40"/>
        <v>1.4559999999999997</v>
      </c>
      <c r="O405" s="115">
        <f t="shared" si="40"/>
        <v>1.4559999999999997</v>
      </c>
      <c r="P405" s="115">
        <f t="shared" si="40"/>
        <v>1.3559999999999997</v>
      </c>
      <c r="Q405" s="115">
        <f t="shared" si="40"/>
        <v>1.3559999999999997</v>
      </c>
      <c r="R405" s="115">
        <f t="shared" si="40"/>
        <v>1.2569999999999997</v>
      </c>
      <c r="S405" s="115">
        <f>SUM(S378:S403)</f>
        <v>3.6999999999999997</v>
      </c>
      <c r="T405" s="197">
        <f>SUM(T378:T403)</f>
        <v>3.0110000000000006</v>
      </c>
      <c r="U405" s="155"/>
      <c r="V405" s="243"/>
      <c r="W405" s="24">
        <f>SUM(W378:W404)</f>
        <v>0.8230000000000001</v>
      </c>
      <c r="X405" s="24">
        <f>SUM(X378:X403)</f>
        <v>0</v>
      </c>
      <c r="Y405" s="24">
        <f>SUM(Y378:Y403)</f>
        <v>0</v>
      </c>
      <c r="Z405" s="24">
        <f>SUM(Z378:Z404)</f>
        <v>0.002</v>
      </c>
      <c r="AA405" s="24">
        <f>SUM(AA378:AA404)</f>
        <v>3.974</v>
      </c>
      <c r="AB405" s="24">
        <f>SUM(AB378:AB404)</f>
        <v>9.806000000000001</v>
      </c>
      <c r="AC405" s="24">
        <f>SUM(AC378:AC404)</f>
        <v>0.023</v>
      </c>
      <c r="AD405" s="24">
        <f>SUM(AD378:AD404)</f>
        <v>14.627999999999998</v>
      </c>
      <c r="AF405" s="33">
        <f>SUM(AF378:AF404)</f>
        <v>0</v>
      </c>
      <c r="AG405" s="33">
        <f aca="true" t="shared" si="41" ref="AG405:AV405">SUM(AG378:AG404)</f>
        <v>0</v>
      </c>
      <c r="AH405" s="33">
        <f t="shared" si="41"/>
        <v>3.054</v>
      </c>
      <c r="AI405" s="33">
        <f t="shared" si="41"/>
        <v>3.725</v>
      </c>
      <c r="AJ405" s="33">
        <f t="shared" si="41"/>
        <v>0.086</v>
      </c>
      <c r="AK405" s="33">
        <f t="shared" si="41"/>
        <v>2.606</v>
      </c>
      <c r="AL405" s="33">
        <f t="shared" si="41"/>
        <v>0.103</v>
      </c>
      <c r="AM405" s="33">
        <f t="shared" si="41"/>
        <v>0</v>
      </c>
      <c r="AN405" s="33">
        <f t="shared" si="41"/>
        <v>0</v>
      </c>
      <c r="AO405" s="33">
        <f t="shared" si="41"/>
        <v>0</v>
      </c>
      <c r="AP405" s="33">
        <f t="shared" si="41"/>
        <v>0</v>
      </c>
      <c r="AQ405" s="33">
        <f t="shared" si="41"/>
        <v>0</v>
      </c>
      <c r="AR405" s="33">
        <f t="shared" si="41"/>
        <v>0</v>
      </c>
      <c r="AS405" s="33">
        <f t="shared" si="41"/>
        <v>0</v>
      </c>
      <c r="AT405" s="33">
        <f t="shared" si="41"/>
        <v>0</v>
      </c>
      <c r="AU405" s="33">
        <f t="shared" si="41"/>
        <v>0.232</v>
      </c>
      <c r="AV405" s="33">
        <f t="shared" si="41"/>
        <v>9.806000000000001</v>
      </c>
    </row>
    <row r="406" spans="3:48" ht="12.75">
      <c r="C406" s="5"/>
      <c r="D406" s="5"/>
      <c r="E406" s="267"/>
      <c r="F406" s="269"/>
      <c r="G406" s="333"/>
      <c r="H406" s="83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87"/>
      <c r="T406" s="87"/>
      <c r="U406" s="12"/>
      <c r="V406" s="243"/>
      <c r="W406" s="30"/>
      <c r="X406" s="30"/>
      <c r="Y406" s="30"/>
      <c r="Z406" s="30"/>
      <c r="AA406" s="30"/>
      <c r="AB406" s="30"/>
      <c r="AC406" s="31"/>
      <c r="AD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</row>
    <row r="407" spans="3:48" ht="12.75">
      <c r="C407" s="7" t="s">
        <v>791</v>
      </c>
      <c r="D407" s="5"/>
      <c r="E407" s="267"/>
      <c r="F407" s="269"/>
      <c r="G407" s="333"/>
      <c r="H407" s="83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87"/>
      <c r="T407" s="87"/>
      <c r="U407" s="12"/>
      <c r="V407" s="243"/>
      <c r="W407" s="30"/>
      <c r="X407" s="30"/>
      <c r="Y407" s="30"/>
      <c r="Z407" s="30"/>
      <c r="AA407" s="30"/>
      <c r="AB407" s="30"/>
      <c r="AC407" s="31"/>
      <c r="AD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>
        <f>SUM(AF407:AU407)</f>
        <v>0</v>
      </c>
    </row>
    <row r="408" spans="3:48" ht="12.75">
      <c r="C408" s="7"/>
      <c r="E408" s="267"/>
      <c r="F408" s="269"/>
      <c r="G408" s="334"/>
      <c r="H408" s="83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87"/>
      <c r="T408" s="87"/>
      <c r="U408" s="12"/>
      <c r="V408" s="243"/>
      <c r="W408" s="30"/>
      <c r="X408" s="30"/>
      <c r="Y408" s="30"/>
      <c r="Z408" s="30"/>
      <c r="AA408" s="30"/>
      <c r="AB408" s="30"/>
      <c r="AC408" s="31"/>
      <c r="AD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</row>
    <row r="409" spans="1:48" ht="12" customHeight="1">
      <c r="A409" s="181" t="s">
        <v>858</v>
      </c>
      <c r="B409" s="27" t="s">
        <v>697</v>
      </c>
      <c r="C409" s="5" t="s">
        <v>698</v>
      </c>
      <c r="D409" s="9">
        <v>0.075</v>
      </c>
      <c r="E409" s="279">
        <v>33239</v>
      </c>
      <c r="F409" s="280">
        <v>33664</v>
      </c>
      <c r="G409" s="9"/>
      <c r="H409" s="83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>
        <v>0.075</v>
      </c>
      <c r="T409" s="154">
        <f aca="true" t="shared" si="42" ref="T409:T445">SUM(H409:L409)</f>
        <v>0</v>
      </c>
      <c r="U409" s="155"/>
      <c r="V409" s="243"/>
      <c r="W409" s="30"/>
      <c r="X409" s="30"/>
      <c r="Y409" s="30"/>
      <c r="Z409" s="30"/>
      <c r="AA409" s="30"/>
      <c r="AB409" s="30"/>
      <c r="AC409" s="31"/>
      <c r="AD409" s="31">
        <f>SUM(W409:AC409)</f>
        <v>0</v>
      </c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>
        <f>SUM(AF409:AU409)</f>
        <v>0</v>
      </c>
    </row>
    <row r="410" spans="1:48" ht="12.75">
      <c r="A410" s="181" t="s">
        <v>858</v>
      </c>
      <c r="B410" s="27" t="s">
        <v>866</v>
      </c>
      <c r="C410" s="5" t="s">
        <v>826</v>
      </c>
      <c r="D410" s="5">
        <v>6.966</v>
      </c>
      <c r="E410" s="267">
        <v>38018</v>
      </c>
      <c r="F410" s="280">
        <v>38596</v>
      </c>
      <c r="G410" s="9">
        <v>1.892</v>
      </c>
      <c r="H410" s="83">
        <v>0.7</v>
      </c>
      <c r="I410" s="12"/>
      <c r="J410" s="12">
        <v>0.93</v>
      </c>
      <c r="K410" s="12">
        <v>0.93</v>
      </c>
      <c r="L410" s="12">
        <v>0.93</v>
      </c>
      <c r="M410" s="12">
        <v>0.93</v>
      </c>
      <c r="N410" s="12">
        <v>0.93</v>
      </c>
      <c r="O410" s="12">
        <v>0.93</v>
      </c>
      <c r="P410" s="12"/>
      <c r="Q410" s="12"/>
      <c r="R410" s="12"/>
      <c r="S410" s="12">
        <v>2</v>
      </c>
      <c r="T410" s="154">
        <f t="shared" si="42"/>
        <v>3.49</v>
      </c>
      <c r="U410" s="155"/>
      <c r="V410" s="243"/>
      <c r="W410" s="30">
        <f>0.209-0.209</f>
        <v>0</v>
      </c>
      <c r="X410" s="30">
        <v>1.732</v>
      </c>
      <c r="Y410" s="30"/>
      <c r="Z410" s="30"/>
      <c r="AA410" s="30"/>
      <c r="AB410" s="30">
        <f>SUM(AF410:AU410)</f>
        <v>6.482</v>
      </c>
      <c r="AC410" s="31"/>
      <c r="AD410" s="31">
        <f aca="true" t="shared" si="43" ref="AD410:AD476">SUM(W410:AC410)</f>
        <v>8.214</v>
      </c>
      <c r="AF410" s="31">
        <f>6.146+0.336</f>
        <v>6.482</v>
      </c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>
        <f>SUM(AF410:AU410)</f>
        <v>6.482</v>
      </c>
    </row>
    <row r="411" spans="1:48" ht="12.75">
      <c r="A411" s="181" t="s">
        <v>858</v>
      </c>
      <c r="B411" s="27" t="s">
        <v>867</v>
      </c>
      <c r="C411" s="5" t="s">
        <v>849</v>
      </c>
      <c r="D411" s="5">
        <v>3.719</v>
      </c>
      <c r="E411" s="267">
        <v>36923</v>
      </c>
      <c r="F411" s="280">
        <v>38292</v>
      </c>
      <c r="G411" s="9">
        <v>2.933</v>
      </c>
      <c r="H411" s="12"/>
      <c r="I411" s="12"/>
      <c r="J411" s="12"/>
      <c r="K411" s="12"/>
      <c r="L411" s="12"/>
      <c r="M411" s="12">
        <v>2.549</v>
      </c>
      <c r="N411" s="12"/>
      <c r="O411" s="12"/>
      <c r="P411" s="12"/>
      <c r="Q411" s="12"/>
      <c r="R411" s="12"/>
      <c r="S411" s="12"/>
      <c r="T411" s="154">
        <f t="shared" si="42"/>
        <v>0</v>
      </c>
      <c r="U411" s="155"/>
      <c r="V411" s="243"/>
      <c r="W411" s="30"/>
      <c r="X411" s="30"/>
      <c r="Y411" s="30"/>
      <c r="Z411" s="30"/>
      <c r="AA411" s="30"/>
      <c r="AB411" s="30">
        <f>SUM(AF411:AU411)</f>
        <v>2.527</v>
      </c>
      <c r="AC411" s="31"/>
      <c r="AD411" s="31">
        <f t="shared" si="43"/>
        <v>2.527</v>
      </c>
      <c r="AF411" s="31">
        <f>1.332+1.195</f>
        <v>2.527</v>
      </c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>
        <f>SUM(AF411:AU411)</f>
        <v>2.527</v>
      </c>
    </row>
    <row r="412" spans="1:48" ht="12.75" customHeight="1" hidden="1">
      <c r="A412" s="106"/>
      <c r="B412" s="232" t="s">
        <v>1029</v>
      </c>
      <c r="C412" s="237" t="s">
        <v>1030</v>
      </c>
      <c r="D412" s="27">
        <v>0.1</v>
      </c>
      <c r="E412" s="281">
        <v>38443</v>
      </c>
      <c r="F412" s="282">
        <v>38777</v>
      </c>
      <c r="G412" s="9"/>
      <c r="H412" s="83" t="s">
        <v>1147</v>
      </c>
      <c r="I412" s="12">
        <v>0.009</v>
      </c>
      <c r="J412" s="12">
        <v>0.009</v>
      </c>
      <c r="K412" s="12">
        <v>0.009</v>
      </c>
      <c r="L412" s="12">
        <v>0.009</v>
      </c>
      <c r="M412" s="12">
        <v>0.009</v>
      </c>
      <c r="N412" s="12">
        <v>0.009</v>
      </c>
      <c r="O412" s="12">
        <v>0.009</v>
      </c>
      <c r="P412" s="12">
        <v>0.009</v>
      </c>
      <c r="Q412" s="12">
        <v>0.009</v>
      </c>
      <c r="R412" s="12">
        <v>0.009</v>
      </c>
      <c r="S412" s="87">
        <v>0.009</v>
      </c>
      <c r="T412" s="154">
        <f t="shared" si="42"/>
        <v>0.036</v>
      </c>
      <c r="U412" s="155"/>
      <c r="V412" s="243"/>
      <c r="W412" s="30"/>
      <c r="X412" s="30"/>
      <c r="Y412" s="30"/>
      <c r="Z412" s="30"/>
      <c r="AA412" s="30"/>
      <c r="AB412" s="30"/>
      <c r="AC412" s="31"/>
      <c r="AD412" s="31">
        <f t="shared" si="43"/>
        <v>0</v>
      </c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</row>
    <row r="413" spans="1:48" ht="12.75" hidden="1">
      <c r="A413" s="106"/>
      <c r="B413" s="232" t="s">
        <v>1031</v>
      </c>
      <c r="C413" s="237" t="s">
        <v>1032</v>
      </c>
      <c r="D413" s="27">
        <v>0.02</v>
      </c>
      <c r="E413" s="281">
        <v>38443</v>
      </c>
      <c r="F413" s="282">
        <v>38777</v>
      </c>
      <c r="G413" s="9">
        <v>0.001</v>
      </c>
      <c r="H413" s="83" t="s">
        <v>1147</v>
      </c>
      <c r="I413" s="12">
        <v>0.002</v>
      </c>
      <c r="J413" s="12">
        <v>0.002</v>
      </c>
      <c r="K413" s="12">
        <v>0.002</v>
      </c>
      <c r="L413" s="12">
        <v>0.002</v>
      </c>
      <c r="M413" s="12">
        <v>0.002</v>
      </c>
      <c r="N413" s="12">
        <v>0.002</v>
      </c>
      <c r="O413" s="12">
        <v>0.002</v>
      </c>
      <c r="P413" s="12">
        <v>0.002</v>
      </c>
      <c r="Q413" s="12">
        <v>0.002</v>
      </c>
      <c r="R413" s="12">
        <v>0.002</v>
      </c>
      <c r="S413" s="87"/>
      <c r="T413" s="154">
        <f t="shared" si="42"/>
        <v>0.008</v>
      </c>
      <c r="U413" s="155"/>
      <c r="V413" s="243"/>
      <c r="W413" s="30"/>
      <c r="X413" s="30"/>
      <c r="Y413" s="30"/>
      <c r="Z413" s="30"/>
      <c r="AA413" s="30"/>
      <c r="AB413" s="30"/>
      <c r="AC413" s="31"/>
      <c r="AD413" s="31">
        <f t="shared" si="43"/>
        <v>0</v>
      </c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</row>
    <row r="414" spans="1:48" ht="12.75" hidden="1">
      <c r="A414" s="106"/>
      <c r="B414" s="232" t="s">
        <v>1033</v>
      </c>
      <c r="C414" s="237" t="s">
        <v>1034</v>
      </c>
      <c r="D414" s="27">
        <v>0.015</v>
      </c>
      <c r="E414" s="281">
        <v>38443</v>
      </c>
      <c r="F414" s="282">
        <v>38777</v>
      </c>
      <c r="G414" s="9">
        <v>0.002</v>
      </c>
      <c r="H414" s="83" t="s">
        <v>1147</v>
      </c>
      <c r="I414" s="12">
        <v>0.001</v>
      </c>
      <c r="J414" s="12">
        <v>0.001</v>
      </c>
      <c r="K414" s="12">
        <v>0.001</v>
      </c>
      <c r="L414" s="12">
        <v>0.001</v>
      </c>
      <c r="M414" s="12">
        <v>0.001</v>
      </c>
      <c r="N414" s="12">
        <v>0.001</v>
      </c>
      <c r="O414" s="12">
        <v>0.001</v>
      </c>
      <c r="P414" s="12">
        <v>0.001</v>
      </c>
      <c r="Q414" s="12">
        <v>0.001</v>
      </c>
      <c r="R414" s="12">
        <v>0.001</v>
      </c>
      <c r="S414" s="87">
        <v>0.001</v>
      </c>
      <c r="T414" s="154">
        <f t="shared" si="42"/>
        <v>0.004</v>
      </c>
      <c r="U414" s="155"/>
      <c r="V414" s="243"/>
      <c r="W414" s="30"/>
      <c r="X414" s="30"/>
      <c r="Y414" s="30"/>
      <c r="Z414" s="30"/>
      <c r="AA414" s="30"/>
      <c r="AB414" s="30"/>
      <c r="AC414" s="31"/>
      <c r="AD414" s="31">
        <f t="shared" si="43"/>
        <v>0</v>
      </c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</row>
    <row r="415" spans="1:48" ht="12.75" hidden="1">
      <c r="A415" s="107"/>
      <c r="B415" s="232" t="s">
        <v>1035</v>
      </c>
      <c r="C415" s="237" t="s">
        <v>1036</v>
      </c>
      <c r="D415" s="27">
        <v>0.005</v>
      </c>
      <c r="E415" s="281">
        <v>38443</v>
      </c>
      <c r="F415" s="282">
        <v>38777</v>
      </c>
      <c r="G415" s="9"/>
      <c r="H415" s="83" t="s">
        <v>1147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87">
        <v>0</v>
      </c>
      <c r="T415" s="154">
        <f t="shared" si="42"/>
        <v>0</v>
      </c>
      <c r="U415" s="155"/>
      <c r="V415" s="243"/>
      <c r="W415" s="30"/>
      <c r="X415" s="30"/>
      <c r="Y415" s="30"/>
      <c r="Z415" s="30"/>
      <c r="AA415" s="30"/>
      <c r="AB415" s="30"/>
      <c r="AC415" s="31"/>
      <c r="AD415" s="31">
        <f t="shared" si="43"/>
        <v>0</v>
      </c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</row>
    <row r="416" spans="1:48" ht="12.75" hidden="1">
      <c r="A416" s="107"/>
      <c r="B416" s="232" t="s">
        <v>342</v>
      </c>
      <c r="C416" s="237" t="s">
        <v>343</v>
      </c>
      <c r="D416" s="27"/>
      <c r="E416" s="281"/>
      <c r="F416" s="282"/>
      <c r="G416" s="9">
        <v>0.001</v>
      </c>
      <c r="H416" s="83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87"/>
      <c r="T416" s="154"/>
      <c r="U416" s="155"/>
      <c r="V416" s="243"/>
      <c r="W416" s="30"/>
      <c r="X416" s="30"/>
      <c r="Y416" s="30"/>
      <c r="Z416" s="30"/>
      <c r="AA416" s="30"/>
      <c r="AB416" s="30"/>
      <c r="AC416" s="31"/>
      <c r="AD416" s="31">
        <f t="shared" si="43"/>
        <v>0</v>
      </c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</row>
    <row r="417" spans="1:48" ht="12.75" hidden="1">
      <c r="A417" s="107"/>
      <c r="B417" s="232" t="s">
        <v>344</v>
      </c>
      <c r="C417" s="237" t="s">
        <v>345</v>
      </c>
      <c r="D417" s="27"/>
      <c r="E417" s="281"/>
      <c r="F417" s="282"/>
      <c r="G417" s="9">
        <v>0.001</v>
      </c>
      <c r="H417" s="83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87"/>
      <c r="T417" s="154"/>
      <c r="U417" s="155"/>
      <c r="V417" s="243"/>
      <c r="W417" s="30"/>
      <c r="X417" s="30"/>
      <c r="Y417" s="30"/>
      <c r="Z417" s="30"/>
      <c r="AA417" s="30"/>
      <c r="AB417" s="30"/>
      <c r="AC417" s="31"/>
      <c r="AD417" s="31">
        <f t="shared" si="43"/>
        <v>0</v>
      </c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</row>
    <row r="418" spans="1:48" ht="12.75" hidden="1">
      <c r="A418" s="107"/>
      <c r="B418" s="232" t="s">
        <v>1037</v>
      </c>
      <c r="C418" s="237" t="s">
        <v>1039</v>
      </c>
      <c r="D418" s="27">
        <v>0.05</v>
      </c>
      <c r="E418" s="281">
        <v>38477</v>
      </c>
      <c r="F418" s="282">
        <v>38538</v>
      </c>
      <c r="G418" s="9"/>
      <c r="H418" s="83" t="s">
        <v>1147</v>
      </c>
      <c r="I418" s="12" t="s">
        <v>1147</v>
      </c>
      <c r="J418" s="12">
        <v>0.025</v>
      </c>
      <c r="K418" s="12">
        <v>0.025</v>
      </c>
      <c r="L418" s="12"/>
      <c r="M418" s="12"/>
      <c r="N418" s="12"/>
      <c r="O418" s="12"/>
      <c r="P418" s="12"/>
      <c r="Q418" s="12"/>
      <c r="R418" s="12"/>
      <c r="S418" s="87"/>
      <c r="T418" s="154">
        <f t="shared" si="42"/>
        <v>0.05</v>
      </c>
      <c r="U418" s="155"/>
      <c r="V418" s="243"/>
      <c r="W418" s="30"/>
      <c r="X418" s="30"/>
      <c r="Y418" s="30"/>
      <c r="Z418" s="30"/>
      <c r="AA418" s="30"/>
      <c r="AB418" s="30"/>
      <c r="AC418" s="31"/>
      <c r="AD418" s="31">
        <f t="shared" si="43"/>
        <v>0</v>
      </c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</row>
    <row r="419" spans="1:48" ht="12.75" hidden="1">
      <c r="A419" s="107"/>
      <c r="B419" s="232" t="s">
        <v>1040</v>
      </c>
      <c r="C419" s="237" t="s">
        <v>1041</v>
      </c>
      <c r="D419" s="27">
        <v>0.001</v>
      </c>
      <c r="E419" s="281" t="s">
        <v>987</v>
      </c>
      <c r="F419" s="282" t="s">
        <v>987</v>
      </c>
      <c r="G419" s="9"/>
      <c r="H419" s="83" t="s">
        <v>1147</v>
      </c>
      <c r="I419" s="12" t="s">
        <v>1147</v>
      </c>
      <c r="J419" s="12" t="s">
        <v>1147</v>
      </c>
      <c r="K419" s="12" t="s">
        <v>1147</v>
      </c>
      <c r="L419" s="12" t="s">
        <v>1147</v>
      </c>
      <c r="M419" s="12" t="s">
        <v>1147</v>
      </c>
      <c r="N419" s="12" t="s">
        <v>1147</v>
      </c>
      <c r="O419" s="12" t="s">
        <v>1147</v>
      </c>
      <c r="P419" s="12" t="s">
        <v>1147</v>
      </c>
      <c r="Q419" s="12" t="s">
        <v>1147</v>
      </c>
      <c r="R419" s="12" t="s">
        <v>1147</v>
      </c>
      <c r="S419" s="87" t="s">
        <v>1147</v>
      </c>
      <c r="T419" s="154">
        <f t="shared" si="42"/>
        <v>0</v>
      </c>
      <c r="U419" s="155"/>
      <c r="V419" s="243"/>
      <c r="W419" s="30"/>
      <c r="X419" s="30"/>
      <c r="Y419" s="30"/>
      <c r="Z419" s="30"/>
      <c r="AA419" s="30"/>
      <c r="AB419" s="30"/>
      <c r="AC419" s="31"/>
      <c r="AD419" s="31">
        <f t="shared" si="43"/>
        <v>0</v>
      </c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</row>
    <row r="420" spans="1:48" ht="12.75" hidden="1">
      <c r="A420" s="107"/>
      <c r="B420" s="232" t="s">
        <v>346</v>
      </c>
      <c r="C420" s="237" t="s">
        <v>347</v>
      </c>
      <c r="D420" s="27"/>
      <c r="E420" s="281"/>
      <c r="F420" s="282"/>
      <c r="G420" s="9">
        <v>0.007</v>
      </c>
      <c r="H420" s="83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87"/>
      <c r="T420" s="154"/>
      <c r="U420" s="155"/>
      <c r="V420" s="243"/>
      <c r="W420" s="30"/>
      <c r="X420" s="30"/>
      <c r="Y420" s="30"/>
      <c r="Z420" s="30"/>
      <c r="AA420" s="30"/>
      <c r="AB420" s="30"/>
      <c r="AC420" s="31"/>
      <c r="AD420" s="31">
        <f t="shared" si="43"/>
        <v>0</v>
      </c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</row>
    <row r="421" spans="1:48" ht="12.75" hidden="1">
      <c r="A421" s="107"/>
      <c r="B421" s="232" t="s">
        <v>1042</v>
      </c>
      <c r="C421" s="237" t="s">
        <v>1043</v>
      </c>
      <c r="D421" s="27">
        <v>0.08</v>
      </c>
      <c r="E421" s="281">
        <v>38596</v>
      </c>
      <c r="F421" s="282">
        <v>38657</v>
      </c>
      <c r="G421" s="9">
        <v>0.002</v>
      </c>
      <c r="H421" s="83" t="s">
        <v>1147</v>
      </c>
      <c r="I421" s="12" t="s">
        <v>1147</v>
      </c>
      <c r="J421" s="12" t="s">
        <v>1147</v>
      </c>
      <c r="K421" s="12" t="s">
        <v>1147</v>
      </c>
      <c r="L421" s="12" t="s">
        <v>1147</v>
      </c>
      <c r="M421" s="12" t="s">
        <v>1147</v>
      </c>
      <c r="N421" s="12"/>
      <c r="O421" s="12">
        <v>0.04</v>
      </c>
      <c r="P421" s="12">
        <v>0.04</v>
      </c>
      <c r="Q421" s="12"/>
      <c r="R421" s="12"/>
      <c r="S421" s="87"/>
      <c r="T421" s="154">
        <f t="shared" si="42"/>
        <v>0</v>
      </c>
      <c r="U421" s="155"/>
      <c r="V421" s="243"/>
      <c r="W421" s="30"/>
      <c r="X421" s="30"/>
      <c r="Y421" s="30"/>
      <c r="Z421" s="30"/>
      <c r="AA421" s="30"/>
      <c r="AB421" s="30"/>
      <c r="AC421" s="31"/>
      <c r="AD421" s="31">
        <f t="shared" si="43"/>
        <v>0</v>
      </c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</row>
    <row r="422" spans="1:48" ht="12.75" hidden="1">
      <c r="A422" s="107"/>
      <c r="B422" s="232" t="s">
        <v>1044</v>
      </c>
      <c r="C422" s="237" t="s">
        <v>1045</v>
      </c>
      <c r="D422" s="27">
        <v>0.01</v>
      </c>
      <c r="E422" s="281">
        <v>38808</v>
      </c>
      <c r="F422" s="282">
        <v>38899</v>
      </c>
      <c r="G422" s="9">
        <v>0.003</v>
      </c>
      <c r="H422" s="83" t="s">
        <v>1147</v>
      </c>
      <c r="I422" s="12" t="s">
        <v>1147</v>
      </c>
      <c r="J422" s="12" t="s">
        <v>1147</v>
      </c>
      <c r="K422" s="12" t="s">
        <v>1147</v>
      </c>
      <c r="L422" s="12" t="s">
        <v>1147</v>
      </c>
      <c r="M422" s="12" t="s">
        <v>1147</v>
      </c>
      <c r="N422" s="12" t="s">
        <v>1147</v>
      </c>
      <c r="O422" s="12" t="s">
        <v>1147</v>
      </c>
      <c r="P422" s="12" t="s">
        <v>1147</v>
      </c>
      <c r="Q422" s="12" t="s">
        <v>1147</v>
      </c>
      <c r="R422" s="12" t="s">
        <v>1147</v>
      </c>
      <c r="S422" s="87">
        <v>0.01</v>
      </c>
      <c r="T422" s="154">
        <f t="shared" si="42"/>
        <v>0</v>
      </c>
      <c r="U422" s="155"/>
      <c r="V422" s="243"/>
      <c r="W422" s="30"/>
      <c r="X422" s="30"/>
      <c r="Y422" s="30"/>
      <c r="Z422" s="30"/>
      <c r="AA422" s="30"/>
      <c r="AB422" s="30"/>
      <c r="AC422" s="31"/>
      <c r="AD422" s="31">
        <f t="shared" si="43"/>
        <v>0</v>
      </c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</row>
    <row r="423" spans="1:48" ht="12.75" hidden="1">
      <c r="A423" s="107"/>
      <c r="B423" s="232" t="s">
        <v>1046</v>
      </c>
      <c r="C423" s="237" t="s">
        <v>1047</v>
      </c>
      <c r="D423" s="27">
        <v>0</v>
      </c>
      <c r="E423" s="281">
        <v>37956</v>
      </c>
      <c r="F423" s="282">
        <v>38047</v>
      </c>
      <c r="G423" s="9"/>
      <c r="H423" s="83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87">
        <v>0</v>
      </c>
      <c r="T423" s="154">
        <f t="shared" si="42"/>
        <v>0</v>
      </c>
      <c r="U423" s="155"/>
      <c r="V423" s="243"/>
      <c r="W423" s="30"/>
      <c r="X423" s="30"/>
      <c r="Y423" s="30"/>
      <c r="Z423" s="30"/>
      <c r="AA423" s="30"/>
      <c r="AB423" s="30"/>
      <c r="AC423" s="31"/>
      <c r="AD423" s="31">
        <f t="shared" si="43"/>
        <v>0</v>
      </c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</row>
    <row r="424" spans="1:48" ht="12.75" hidden="1">
      <c r="A424" s="107"/>
      <c r="B424" s="232" t="s">
        <v>1048</v>
      </c>
      <c r="C424" s="237" t="s">
        <v>1049</v>
      </c>
      <c r="D424" s="27">
        <v>0.002</v>
      </c>
      <c r="E424" s="281">
        <v>38869</v>
      </c>
      <c r="F424" s="282">
        <v>38961</v>
      </c>
      <c r="G424" s="9"/>
      <c r="H424" s="83" t="s">
        <v>1147</v>
      </c>
      <c r="I424" s="12" t="s">
        <v>1147</v>
      </c>
      <c r="J424" s="12" t="s">
        <v>1147</v>
      </c>
      <c r="K424" s="12" t="s">
        <v>1147</v>
      </c>
      <c r="L424" s="12" t="s">
        <v>1147</v>
      </c>
      <c r="M424" s="12" t="s">
        <v>1147</v>
      </c>
      <c r="N424" s="12" t="s">
        <v>1147</v>
      </c>
      <c r="O424" s="12" t="s">
        <v>1147</v>
      </c>
      <c r="P424" s="12" t="s">
        <v>1147</v>
      </c>
      <c r="Q424" s="12" t="s">
        <v>1147</v>
      </c>
      <c r="R424" s="12" t="s">
        <v>1147</v>
      </c>
      <c r="S424" s="87">
        <v>0.002</v>
      </c>
      <c r="T424" s="154">
        <f t="shared" si="42"/>
        <v>0</v>
      </c>
      <c r="U424" s="155"/>
      <c r="V424" s="243"/>
      <c r="W424" s="30"/>
      <c r="X424" s="30"/>
      <c r="Y424" s="30"/>
      <c r="Z424" s="30"/>
      <c r="AA424" s="30"/>
      <c r="AB424" s="30"/>
      <c r="AC424" s="31"/>
      <c r="AD424" s="31">
        <f t="shared" si="43"/>
        <v>0</v>
      </c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</row>
    <row r="425" spans="1:48" ht="12.75" hidden="1">
      <c r="A425" s="107"/>
      <c r="B425" s="232" t="s">
        <v>1050</v>
      </c>
      <c r="C425" s="237" t="s">
        <v>1051</v>
      </c>
      <c r="D425" s="27">
        <v>0.005</v>
      </c>
      <c r="E425" s="281">
        <v>38264</v>
      </c>
      <c r="F425" s="282">
        <v>38325</v>
      </c>
      <c r="G425" s="9">
        <v>0.005</v>
      </c>
      <c r="H425" s="83">
        <v>0.002</v>
      </c>
      <c r="I425" s="12">
        <v>0.002</v>
      </c>
      <c r="J425" s="12"/>
      <c r="K425" s="12"/>
      <c r="L425" s="12"/>
      <c r="M425" s="12"/>
      <c r="N425" s="12"/>
      <c r="O425" s="12"/>
      <c r="P425" s="12"/>
      <c r="Q425" s="12"/>
      <c r="R425" s="12"/>
      <c r="S425" s="87"/>
      <c r="T425" s="154">
        <f t="shared" si="42"/>
        <v>0.004</v>
      </c>
      <c r="U425" s="155"/>
      <c r="V425" s="243"/>
      <c r="W425" s="30"/>
      <c r="X425" s="30"/>
      <c r="Y425" s="30"/>
      <c r="Z425" s="30"/>
      <c r="AA425" s="30"/>
      <c r="AB425" s="30"/>
      <c r="AC425" s="31"/>
      <c r="AD425" s="31">
        <f t="shared" si="43"/>
        <v>0</v>
      </c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</row>
    <row r="426" spans="1:48" ht="12.75" hidden="1">
      <c r="A426" s="107"/>
      <c r="B426" s="232" t="s">
        <v>348</v>
      </c>
      <c r="C426" s="237" t="s">
        <v>349</v>
      </c>
      <c r="D426" s="27"/>
      <c r="E426" s="281"/>
      <c r="F426" s="282"/>
      <c r="G426" s="9">
        <v>0.001</v>
      </c>
      <c r="H426" s="83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87"/>
      <c r="T426" s="154"/>
      <c r="U426" s="155"/>
      <c r="V426" s="243"/>
      <c r="W426" s="30"/>
      <c r="X426" s="30"/>
      <c r="Y426" s="30"/>
      <c r="Z426" s="30"/>
      <c r="AA426" s="30"/>
      <c r="AB426" s="30"/>
      <c r="AC426" s="31"/>
      <c r="AD426" s="31">
        <f t="shared" si="43"/>
        <v>0</v>
      </c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</row>
    <row r="427" spans="1:48" ht="12.75" hidden="1">
      <c r="A427" s="107"/>
      <c r="B427" s="232" t="s">
        <v>1052</v>
      </c>
      <c r="C427" s="237" t="s">
        <v>1053</v>
      </c>
      <c r="D427" s="27">
        <v>0</v>
      </c>
      <c r="E427" s="281">
        <v>37681</v>
      </c>
      <c r="F427" s="282">
        <v>38047</v>
      </c>
      <c r="G427" s="9"/>
      <c r="H427" s="83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87">
        <v>0</v>
      </c>
      <c r="T427" s="154">
        <f t="shared" si="42"/>
        <v>0</v>
      </c>
      <c r="U427" s="155"/>
      <c r="V427" s="243"/>
      <c r="W427" s="30"/>
      <c r="X427" s="30"/>
      <c r="Y427" s="30"/>
      <c r="Z427" s="30"/>
      <c r="AA427" s="30"/>
      <c r="AB427" s="30"/>
      <c r="AC427" s="31"/>
      <c r="AD427" s="31">
        <f t="shared" si="43"/>
        <v>0</v>
      </c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</row>
    <row r="428" spans="1:48" ht="12.75" hidden="1">
      <c r="A428" s="107"/>
      <c r="B428" s="232" t="s">
        <v>1054</v>
      </c>
      <c r="C428" s="237" t="s">
        <v>1055</v>
      </c>
      <c r="D428" s="27">
        <v>0.07</v>
      </c>
      <c r="E428" s="281">
        <v>38388</v>
      </c>
      <c r="F428" s="282">
        <v>38447</v>
      </c>
      <c r="G428" s="9">
        <v>0.006</v>
      </c>
      <c r="H428" s="83"/>
      <c r="I428" s="12">
        <v>0.019</v>
      </c>
      <c r="J428" s="12">
        <v>0.019</v>
      </c>
      <c r="K428" s="12"/>
      <c r="L428" s="12"/>
      <c r="M428" s="12"/>
      <c r="N428" s="12"/>
      <c r="O428" s="12"/>
      <c r="P428" s="12"/>
      <c r="Q428" s="12"/>
      <c r="R428" s="12"/>
      <c r="S428" s="87"/>
      <c r="T428" s="154">
        <f t="shared" si="42"/>
        <v>0.038</v>
      </c>
      <c r="U428" s="155"/>
      <c r="V428" s="243"/>
      <c r="W428" s="30"/>
      <c r="X428" s="30"/>
      <c r="Y428" s="30"/>
      <c r="Z428" s="30"/>
      <c r="AA428" s="30"/>
      <c r="AB428" s="30"/>
      <c r="AC428" s="31"/>
      <c r="AD428" s="31">
        <f t="shared" si="43"/>
        <v>0</v>
      </c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</row>
    <row r="429" spans="1:48" ht="12.75" hidden="1">
      <c r="A429" s="107"/>
      <c r="B429" s="232" t="s">
        <v>350</v>
      </c>
      <c r="C429" s="237" t="s">
        <v>351</v>
      </c>
      <c r="D429" s="27"/>
      <c r="E429" s="281"/>
      <c r="F429" s="282"/>
      <c r="G429" s="9">
        <v>0.002</v>
      </c>
      <c r="H429" s="83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87"/>
      <c r="T429" s="154"/>
      <c r="U429" s="155"/>
      <c r="V429" s="243"/>
      <c r="W429" s="30"/>
      <c r="X429" s="30"/>
      <c r="Y429" s="30"/>
      <c r="Z429" s="30"/>
      <c r="AA429" s="30"/>
      <c r="AB429" s="30"/>
      <c r="AC429" s="31"/>
      <c r="AD429" s="31">
        <f t="shared" si="43"/>
        <v>0</v>
      </c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</row>
    <row r="430" spans="1:48" ht="12.75" hidden="1">
      <c r="A430" s="107"/>
      <c r="B430" s="232" t="s">
        <v>1056</v>
      </c>
      <c r="C430" s="237" t="s">
        <v>1057</v>
      </c>
      <c r="D430" s="27">
        <v>0.008</v>
      </c>
      <c r="E430" s="281">
        <v>38078</v>
      </c>
      <c r="F430" s="282">
        <v>38412</v>
      </c>
      <c r="G430" s="9">
        <v>0.008</v>
      </c>
      <c r="H430" s="83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87">
        <v>0.004</v>
      </c>
      <c r="T430" s="154">
        <f t="shared" si="42"/>
        <v>0</v>
      </c>
      <c r="U430" s="155"/>
      <c r="V430" s="243"/>
      <c r="W430" s="30"/>
      <c r="X430" s="30"/>
      <c r="Y430" s="30"/>
      <c r="Z430" s="30"/>
      <c r="AA430" s="30"/>
      <c r="AB430" s="30"/>
      <c r="AC430" s="31"/>
      <c r="AD430" s="31">
        <f t="shared" si="43"/>
        <v>0</v>
      </c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</row>
    <row r="431" spans="1:48" ht="12.75" hidden="1">
      <c r="A431" s="107"/>
      <c r="B431" s="232" t="s">
        <v>1058</v>
      </c>
      <c r="C431" s="237" t="s">
        <v>1059</v>
      </c>
      <c r="D431" s="27">
        <v>0.18</v>
      </c>
      <c r="E431" s="281">
        <v>38596</v>
      </c>
      <c r="F431" s="282">
        <v>38687</v>
      </c>
      <c r="G431" s="9">
        <v>0.004</v>
      </c>
      <c r="H431" s="83" t="s">
        <v>1147</v>
      </c>
      <c r="I431" s="12" t="s">
        <v>1147</v>
      </c>
      <c r="J431" s="12" t="s">
        <v>1147</v>
      </c>
      <c r="K431" s="12" t="s">
        <v>1147</v>
      </c>
      <c r="L431" s="12" t="s">
        <v>1147</v>
      </c>
      <c r="M431" s="12" t="s">
        <v>1147</v>
      </c>
      <c r="N431" s="12"/>
      <c r="O431" s="12"/>
      <c r="P431" s="12">
        <v>0.09</v>
      </c>
      <c r="Q431" s="12">
        <v>0.09</v>
      </c>
      <c r="R431" s="12"/>
      <c r="S431" s="87"/>
      <c r="T431" s="154">
        <f t="shared" si="42"/>
        <v>0</v>
      </c>
      <c r="U431" s="155"/>
      <c r="V431" s="243"/>
      <c r="W431" s="30"/>
      <c r="X431" s="30"/>
      <c r="Y431" s="30"/>
      <c r="Z431" s="30"/>
      <c r="AA431" s="30"/>
      <c r="AB431" s="30"/>
      <c r="AC431" s="31"/>
      <c r="AD431" s="31">
        <f t="shared" si="43"/>
        <v>0</v>
      </c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</row>
    <row r="432" spans="1:48" ht="12.75" hidden="1">
      <c r="A432" s="107"/>
      <c r="B432" s="232" t="s">
        <v>1060</v>
      </c>
      <c r="C432" s="237" t="s">
        <v>1061</v>
      </c>
      <c r="D432" s="27">
        <v>0</v>
      </c>
      <c r="E432" s="281" t="s">
        <v>684</v>
      </c>
      <c r="F432" s="282" t="s">
        <v>684</v>
      </c>
      <c r="G432" s="9"/>
      <c r="H432" s="83" t="s">
        <v>1147</v>
      </c>
      <c r="I432" s="12" t="s">
        <v>1147</v>
      </c>
      <c r="J432" s="12" t="s">
        <v>1147</v>
      </c>
      <c r="K432" s="12" t="s">
        <v>1147</v>
      </c>
      <c r="L432" s="12" t="s">
        <v>1147</v>
      </c>
      <c r="M432" s="12" t="s">
        <v>1147</v>
      </c>
      <c r="N432" s="12" t="s">
        <v>1147</v>
      </c>
      <c r="O432" s="12" t="s">
        <v>1147</v>
      </c>
      <c r="P432" s="12" t="s">
        <v>1147</v>
      </c>
      <c r="Q432" s="12" t="s">
        <v>1147</v>
      </c>
      <c r="R432" s="12" t="s">
        <v>1147</v>
      </c>
      <c r="S432" s="87" t="s">
        <v>1147</v>
      </c>
      <c r="T432" s="154">
        <f t="shared" si="42"/>
        <v>0</v>
      </c>
      <c r="U432" s="155"/>
      <c r="V432" s="243"/>
      <c r="W432" s="30"/>
      <c r="X432" s="30"/>
      <c r="Y432" s="30"/>
      <c r="Z432" s="30"/>
      <c r="AA432" s="30"/>
      <c r="AB432" s="30"/>
      <c r="AC432" s="31"/>
      <c r="AD432" s="31">
        <f t="shared" si="43"/>
        <v>0</v>
      </c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</row>
    <row r="433" spans="1:48" ht="12.75" hidden="1">
      <c r="A433" s="107"/>
      <c r="B433" s="232" t="s">
        <v>1062</v>
      </c>
      <c r="C433" s="237" t="s">
        <v>1063</v>
      </c>
      <c r="D433" s="27">
        <v>0.03</v>
      </c>
      <c r="E433" s="281">
        <v>38596</v>
      </c>
      <c r="F433" s="282">
        <v>38626</v>
      </c>
      <c r="G433" s="9">
        <v>0.018</v>
      </c>
      <c r="H433" s="83" t="s">
        <v>1147</v>
      </c>
      <c r="I433" s="12" t="s">
        <v>1147</v>
      </c>
      <c r="J433" s="12" t="s">
        <v>1147</v>
      </c>
      <c r="K433" s="12" t="s">
        <v>1147</v>
      </c>
      <c r="L433" s="12" t="s">
        <v>1147</v>
      </c>
      <c r="M433" s="12" t="s">
        <v>1147</v>
      </c>
      <c r="N433" s="12">
        <v>0.03</v>
      </c>
      <c r="O433" s="12"/>
      <c r="P433" s="12"/>
      <c r="Q433" s="12"/>
      <c r="R433" s="12"/>
      <c r="S433" s="87"/>
      <c r="T433" s="154">
        <f t="shared" si="42"/>
        <v>0</v>
      </c>
      <c r="U433" s="155"/>
      <c r="V433" s="243"/>
      <c r="W433" s="30"/>
      <c r="X433" s="30"/>
      <c r="Y433" s="30"/>
      <c r="Z433" s="30"/>
      <c r="AA433" s="30"/>
      <c r="AB433" s="30"/>
      <c r="AC433" s="31"/>
      <c r="AD433" s="31">
        <f t="shared" si="43"/>
        <v>0</v>
      </c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</row>
    <row r="434" spans="1:48" ht="12.75" hidden="1">
      <c r="A434" s="107"/>
      <c r="B434" s="232" t="s">
        <v>1064</v>
      </c>
      <c r="C434" s="237" t="s">
        <v>1065</v>
      </c>
      <c r="D434" s="27">
        <v>0.01</v>
      </c>
      <c r="E434" s="283">
        <v>38388</v>
      </c>
      <c r="F434" s="282">
        <v>38447</v>
      </c>
      <c r="G434" s="9"/>
      <c r="H434" s="83"/>
      <c r="I434" s="12">
        <v>0.005</v>
      </c>
      <c r="J434" s="12">
        <v>0.005</v>
      </c>
      <c r="K434" s="12"/>
      <c r="L434" s="12"/>
      <c r="M434" s="12"/>
      <c r="N434" s="12"/>
      <c r="O434" s="12"/>
      <c r="P434" s="12"/>
      <c r="Q434" s="12"/>
      <c r="R434" s="12"/>
      <c r="S434" s="87"/>
      <c r="T434" s="154">
        <f t="shared" si="42"/>
        <v>0.01</v>
      </c>
      <c r="U434" s="155"/>
      <c r="V434" s="243"/>
      <c r="W434" s="30"/>
      <c r="X434" s="30"/>
      <c r="Y434" s="30"/>
      <c r="Z434" s="30"/>
      <c r="AA434" s="30"/>
      <c r="AB434" s="30"/>
      <c r="AC434" s="31"/>
      <c r="AD434" s="31">
        <f t="shared" si="43"/>
        <v>0</v>
      </c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</row>
    <row r="435" spans="1:48" ht="12.75" hidden="1">
      <c r="A435" s="107"/>
      <c r="B435" s="232" t="s">
        <v>1066</v>
      </c>
      <c r="C435" s="237" t="s">
        <v>1067</v>
      </c>
      <c r="D435" s="27">
        <v>0.05</v>
      </c>
      <c r="E435" s="283">
        <v>38353</v>
      </c>
      <c r="F435" s="282">
        <v>38384</v>
      </c>
      <c r="G435" s="9">
        <v>0.002</v>
      </c>
      <c r="H435" s="83" t="s">
        <v>1147</v>
      </c>
      <c r="I435" s="12" t="s">
        <v>1147</v>
      </c>
      <c r="J435" s="12" t="s">
        <v>1147</v>
      </c>
      <c r="K435" s="12" t="s">
        <v>1147</v>
      </c>
      <c r="L435" s="12" t="s">
        <v>1147</v>
      </c>
      <c r="M435" s="12" t="s">
        <v>1147</v>
      </c>
      <c r="N435" s="12" t="s">
        <v>1147</v>
      </c>
      <c r="O435" s="12" t="s">
        <v>1147</v>
      </c>
      <c r="P435" s="12"/>
      <c r="Q435" s="12"/>
      <c r="R435" s="12"/>
      <c r="S435" s="87">
        <v>0.05</v>
      </c>
      <c r="T435" s="154">
        <f t="shared" si="42"/>
        <v>0</v>
      </c>
      <c r="U435" s="155"/>
      <c r="V435" s="243"/>
      <c r="W435" s="30"/>
      <c r="X435" s="30"/>
      <c r="Y435" s="30"/>
      <c r="Z435" s="30"/>
      <c r="AA435" s="30"/>
      <c r="AB435" s="30"/>
      <c r="AC435" s="31"/>
      <c r="AD435" s="31">
        <f t="shared" si="43"/>
        <v>0</v>
      </c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</row>
    <row r="436" spans="1:48" ht="12.75" hidden="1">
      <c r="A436" s="107"/>
      <c r="B436" s="232" t="s">
        <v>1068</v>
      </c>
      <c r="C436" s="237" t="s">
        <v>1069</v>
      </c>
      <c r="D436" s="27">
        <v>0.02</v>
      </c>
      <c r="E436" s="283">
        <v>38718</v>
      </c>
      <c r="F436" s="282">
        <v>38808</v>
      </c>
      <c r="G436" s="9"/>
      <c r="H436" s="83" t="s">
        <v>1147</v>
      </c>
      <c r="I436" s="12" t="s">
        <v>1147</v>
      </c>
      <c r="J436" s="12" t="s">
        <v>1147</v>
      </c>
      <c r="K436" s="12" t="s">
        <v>1147</v>
      </c>
      <c r="L436" s="12" t="s">
        <v>1147</v>
      </c>
      <c r="M436" s="12" t="s">
        <v>1147</v>
      </c>
      <c r="N436" s="12" t="s">
        <v>1147</v>
      </c>
      <c r="O436" s="12" t="s">
        <v>1147</v>
      </c>
      <c r="P436" s="12" t="s">
        <v>1147</v>
      </c>
      <c r="Q436" s="12">
        <v>0.02</v>
      </c>
      <c r="R436" s="12">
        <v>0.02</v>
      </c>
      <c r="S436" s="87">
        <v>0.02</v>
      </c>
      <c r="T436" s="154">
        <f t="shared" si="42"/>
        <v>0</v>
      </c>
      <c r="U436" s="155"/>
      <c r="V436" s="243"/>
      <c r="W436" s="30"/>
      <c r="X436" s="30"/>
      <c r="Y436" s="30"/>
      <c r="Z436" s="30"/>
      <c r="AA436" s="30"/>
      <c r="AB436" s="30"/>
      <c r="AC436" s="31"/>
      <c r="AD436" s="31">
        <f t="shared" si="43"/>
        <v>0</v>
      </c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</row>
    <row r="437" spans="1:48" ht="12.75" hidden="1">
      <c r="A437" s="107"/>
      <c r="B437" s="232" t="s">
        <v>1070</v>
      </c>
      <c r="C437" s="237" t="s">
        <v>1071</v>
      </c>
      <c r="D437" s="27">
        <v>0.01</v>
      </c>
      <c r="E437" s="283">
        <v>38718</v>
      </c>
      <c r="F437" s="282">
        <v>38808</v>
      </c>
      <c r="G437" s="9"/>
      <c r="H437" s="83" t="s">
        <v>1147</v>
      </c>
      <c r="I437" s="12" t="s">
        <v>1147</v>
      </c>
      <c r="J437" s="12" t="s">
        <v>1147</v>
      </c>
      <c r="K437" s="12" t="s">
        <v>1147</v>
      </c>
      <c r="L437" s="12" t="s">
        <v>1147</v>
      </c>
      <c r="M437" s="12" t="s">
        <v>1147</v>
      </c>
      <c r="N437" s="12" t="s">
        <v>1147</v>
      </c>
      <c r="O437" s="12" t="s">
        <v>1147</v>
      </c>
      <c r="P437" s="12" t="s">
        <v>1147</v>
      </c>
      <c r="Q437" s="12">
        <v>0.02</v>
      </c>
      <c r="R437" s="12">
        <v>0.02</v>
      </c>
      <c r="S437" s="87">
        <v>0.02</v>
      </c>
      <c r="T437" s="154">
        <f t="shared" si="42"/>
        <v>0</v>
      </c>
      <c r="U437" s="155"/>
      <c r="V437" s="243"/>
      <c r="W437" s="30"/>
      <c r="X437" s="30"/>
      <c r="Y437" s="30"/>
      <c r="Z437" s="30"/>
      <c r="AA437" s="30"/>
      <c r="AB437" s="30"/>
      <c r="AC437" s="31"/>
      <c r="AD437" s="31">
        <f t="shared" si="43"/>
        <v>0</v>
      </c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</row>
    <row r="438" spans="1:48" ht="12.75" hidden="1">
      <c r="A438" s="107"/>
      <c r="B438" s="142" t="s">
        <v>1072</v>
      </c>
      <c r="C438" s="237" t="s">
        <v>1073</v>
      </c>
      <c r="D438" s="27">
        <v>0.005</v>
      </c>
      <c r="E438" s="283">
        <v>38777</v>
      </c>
      <c r="F438" s="282">
        <v>38930</v>
      </c>
      <c r="G438" s="9">
        <v>0.003</v>
      </c>
      <c r="H438" s="83">
        <v>0.02</v>
      </c>
      <c r="I438" s="12" t="s">
        <v>1147</v>
      </c>
      <c r="J438" s="12" t="s">
        <v>1147</v>
      </c>
      <c r="K438" s="12" t="s">
        <v>1147</v>
      </c>
      <c r="L438" s="12" t="s">
        <v>1147</v>
      </c>
      <c r="M438" s="12" t="s">
        <v>1147</v>
      </c>
      <c r="N438" s="12" t="s">
        <v>1147</v>
      </c>
      <c r="O438" s="12" t="s">
        <v>1147</v>
      </c>
      <c r="P438" s="12" t="s">
        <v>1147</v>
      </c>
      <c r="Q438" s="12" t="s">
        <v>1147</v>
      </c>
      <c r="R438" s="12" t="s">
        <v>1147</v>
      </c>
      <c r="S438" s="87">
        <v>0.02</v>
      </c>
      <c r="T438" s="154">
        <f t="shared" si="42"/>
        <v>0.02</v>
      </c>
      <c r="U438" s="155"/>
      <c r="V438" s="243">
        <v>38446</v>
      </c>
      <c r="W438" s="30"/>
      <c r="X438" s="30"/>
      <c r="Y438" s="30"/>
      <c r="Z438" s="30"/>
      <c r="AA438" s="30"/>
      <c r="AB438" s="30"/>
      <c r="AC438" s="31"/>
      <c r="AD438" s="31">
        <f t="shared" si="43"/>
        <v>0</v>
      </c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</row>
    <row r="439" spans="1:48" ht="12.75" hidden="1">
      <c r="A439" s="107"/>
      <c r="B439" s="142" t="s">
        <v>1074</v>
      </c>
      <c r="C439" s="237" t="s">
        <v>1075</v>
      </c>
      <c r="D439" s="27">
        <v>0.075</v>
      </c>
      <c r="E439" s="283">
        <v>38657</v>
      </c>
      <c r="F439" s="282">
        <v>38749</v>
      </c>
      <c r="G439" s="9">
        <v>0.001</v>
      </c>
      <c r="H439" s="83" t="s">
        <v>1147</v>
      </c>
      <c r="I439" s="12" t="s">
        <v>1147</v>
      </c>
      <c r="J439" s="12" t="s">
        <v>1147</v>
      </c>
      <c r="K439" s="12" t="s">
        <v>1147</v>
      </c>
      <c r="L439" s="12" t="s">
        <v>1147</v>
      </c>
      <c r="M439" s="12" t="s">
        <v>1147</v>
      </c>
      <c r="N439" s="12" t="s">
        <v>1147</v>
      </c>
      <c r="O439" s="12" t="s">
        <v>1147</v>
      </c>
      <c r="P439" s="12">
        <v>0.025</v>
      </c>
      <c r="Q439" s="12">
        <v>0.025</v>
      </c>
      <c r="R439" s="12">
        <v>0.025</v>
      </c>
      <c r="S439" s="87"/>
      <c r="T439" s="154">
        <f t="shared" si="42"/>
        <v>0</v>
      </c>
      <c r="U439" s="155"/>
      <c r="V439" s="243"/>
      <c r="W439" s="30"/>
      <c r="X439" s="30"/>
      <c r="Y439" s="30"/>
      <c r="Z439" s="30"/>
      <c r="AA439" s="30"/>
      <c r="AB439" s="30"/>
      <c r="AC439" s="31"/>
      <c r="AD439" s="31">
        <f t="shared" si="43"/>
        <v>0</v>
      </c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</row>
    <row r="440" spans="1:48" ht="12.75" hidden="1">
      <c r="A440" s="107"/>
      <c r="B440" s="142" t="s">
        <v>1076</v>
      </c>
      <c r="C440" s="237" t="s">
        <v>1077</v>
      </c>
      <c r="D440" s="27">
        <v>0.01</v>
      </c>
      <c r="E440" s="283">
        <v>38749</v>
      </c>
      <c r="F440" s="282">
        <v>38808</v>
      </c>
      <c r="G440" s="9">
        <v>0.001</v>
      </c>
      <c r="H440" s="83" t="s">
        <v>1147</v>
      </c>
      <c r="I440" s="12" t="s">
        <v>1147</v>
      </c>
      <c r="J440" s="12" t="s">
        <v>1147</v>
      </c>
      <c r="K440" s="12" t="s">
        <v>1147</v>
      </c>
      <c r="L440" s="12" t="s">
        <v>1147</v>
      </c>
      <c r="M440" s="12" t="s">
        <v>1147</v>
      </c>
      <c r="N440" s="12" t="s">
        <v>1147</v>
      </c>
      <c r="O440" s="12" t="s">
        <v>1147</v>
      </c>
      <c r="P440" s="12" t="s">
        <v>1147</v>
      </c>
      <c r="Q440" s="12" t="s">
        <v>1147</v>
      </c>
      <c r="R440" s="12" t="s">
        <v>1147</v>
      </c>
      <c r="S440" s="87">
        <v>0.03</v>
      </c>
      <c r="T440" s="154">
        <f t="shared" si="42"/>
        <v>0</v>
      </c>
      <c r="U440" s="155"/>
      <c r="V440" s="243"/>
      <c r="W440" s="30"/>
      <c r="X440" s="30"/>
      <c r="Y440" s="30"/>
      <c r="Z440" s="30"/>
      <c r="AA440" s="30"/>
      <c r="AB440" s="30"/>
      <c r="AC440" s="31"/>
      <c r="AD440" s="31">
        <f t="shared" si="43"/>
        <v>0</v>
      </c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</row>
    <row r="441" spans="1:48" ht="12.75" hidden="1">
      <c r="A441" s="107"/>
      <c r="B441" s="142" t="s">
        <v>1078</v>
      </c>
      <c r="C441" s="237" t="s">
        <v>1079</v>
      </c>
      <c r="D441" s="27">
        <v>0.035</v>
      </c>
      <c r="E441" s="283">
        <v>38749</v>
      </c>
      <c r="F441" s="282">
        <v>38808</v>
      </c>
      <c r="G441" s="9"/>
      <c r="H441" s="83" t="s">
        <v>1147</v>
      </c>
      <c r="I441" s="12" t="s">
        <v>1147</v>
      </c>
      <c r="J441" s="12" t="s">
        <v>1147</v>
      </c>
      <c r="K441" s="12" t="s">
        <v>1147</v>
      </c>
      <c r="L441" s="12" t="s">
        <v>1147</v>
      </c>
      <c r="M441" s="12" t="s">
        <v>1147</v>
      </c>
      <c r="N441" s="12" t="s">
        <v>1147</v>
      </c>
      <c r="O441" s="12" t="s">
        <v>1147</v>
      </c>
      <c r="P441" s="12" t="s">
        <v>1147</v>
      </c>
      <c r="Q441" s="12" t="s">
        <v>1147</v>
      </c>
      <c r="R441" s="12" t="s">
        <v>1147</v>
      </c>
      <c r="S441" s="87">
        <v>0.035</v>
      </c>
      <c r="T441" s="154">
        <f t="shared" si="42"/>
        <v>0</v>
      </c>
      <c r="U441" s="155"/>
      <c r="V441" s="243"/>
      <c r="W441" s="30"/>
      <c r="X441" s="30"/>
      <c r="Y441" s="30"/>
      <c r="Z441" s="30"/>
      <c r="AA441" s="30"/>
      <c r="AB441" s="30"/>
      <c r="AC441" s="31"/>
      <c r="AD441" s="31">
        <f t="shared" si="43"/>
        <v>0</v>
      </c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</row>
    <row r="442" spans="1:48" ht="12.75" hidden="1">
      <c r="A442" s="107"/>
      <c r="B442" s="142" t="s">
        <v>1080</v>
      </c>
      <c r="C442" s="237" t="s">
        <v>1081</v>
      </c>
      <c r="D442" s="27">
        <v>0.025</v>
      </c>
      <c r="E442" s="283">
        <v>38777</v>
      </c>
      <c r="F442" s="282">
        <v>38808</v>
      </c>
      <c r="G442" s="9"/>
      <c r="H442" s="83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>
        <v>0.025</v>
      </c>
      <c r="T442" s="154">
        <f t="shared" si="42"/>
        <v>0</v>
      </c>
      <c r="U442" s="155"/>
      <c r="V442" s="243"/>
      <c r="W442" s="30"/>
      <c r="X442" s="30"/>
      <c r="Y442" s="30"/>
      <c r="Z442" s="30"/>
      <c r="AA442" s="30"/>
      <c r="AB442" s="30"/>
      <c r="AC442" s="31"/>
      <c r="AD442" s="31">
        <f t="shared" si="43"/>
        <v>0</v>
      </c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</row>
    <row r="443" spans="2:48" ht="12.75">
      <c r="B443" s="181" t="s">
        <v>858</v>
      </c>
      <c r="C443" s="94" t="s">
        <v>809</v>
      </c>
      <c r="D443" s="9">
        <f>SUM(D412:D442)</f>
        <v>0.8160000000000002</v>
      </c>
      <c r="E443" s="283">
        <v>38078</v>
      </c>
      <c r="F443" s="284">
        <v>38412</v>
      </c>
      <c r="G443" s="335">
        <f>SUM(G412:G442)</f>
        <v>0.06800000000000002</v>
      </c>
      <c r="H443" s="150">
        <f>SUM(H412:H442)</f>
        <v>0.022</v>
      </c>
      <c r="I443" s="151">
        <f aca="true" t="shared" si="44" ref="I443:S443">SUM(I412:I442)</f>
        <v>0.038</v>
      </c>
      <c r="J443" s="151">
        <f t="shared" si="44"/>
        <v>0.061000000000000006</v>
      </c>
      <c r="K443" s="151">
        <f t="shared" si="44"/>
        <v>0.037000000000000005</v>
      </c>
      <c r="L443" s="151">
        <f t="shared" si="44"/>
        <v>0.012</v>
      </c>
      <c r="M443" s="151">
        <f t="shared" si="44"/>
        <v>0.012</v>
      </c>
      <c r="N443" s="151">
        <f t="shared" si="44"/>
        <v>0.041999999999999996</v>
      </c>
      <c r="O443" s="151">
        <f t="shared" si="44"/>
        <v>0.052000000000000005</v>
      </c>
      <c r="P443" s="151">
        <f t="shared" si="44"/>
        <v>0.167</v>
      </c>
      <c r="Q443" s="151">
        <f t="shared" si="44"/>
        <v>0.16699999999999998</v>
      </c>
      <c r="R443" s="151">
        <f t="shared" si="44"/>
        <v>0.07700000000000001</v>
      </c>
      <c r="S443" s="151">
        <f t="shared" si="44"/>
        <v>0.226</v>
      </c>
      <c r="T443" s="154">
        <f t="shared" si="42"/>
        <v>0.17</v>
      </c>
      <c r="U443" s="155"/>
      <c r="V443" s="243"/>
      <c r="W443" s="149"/>
      <c r="X443" s="149"/>
      <c r="Y443" s="149"/>
      <c r="Z443" s="149"/>
      <c r="AA443" s="149"/>
      <c r="AB443" s="149"/>
      <c r="AC443" s="149"/>
      <c r="AD443" s="31">
        <f t="shared" si="43"/>
        <v>0</v>
      </c>
      <c r="AE443" s="149"/>
      <c r="AF443" s="149"/>
      <c r="AG443" s="149"/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</row>
    <row r="444" spans="2:48" ht="12.75" hidden="1">
      <c r="B444" s="232" t="s">
        <v>959</v>
      </c>
      <c r="C444" s="235" t="s">
        <v>960</v>
      </c>
      <c r="D444" s="27">
        <v>0</v>
      </c>
      <c r="E444" s="281">
        <v>38443</v>
      </c>
      <c r="F444" s="282">
        <v>38777</v>
      </c>
      <c r="G444" s="336"/>
      <c r="H444" s="76" t="s">
        <v>1147</v>
      </c>
      <c r="I444" s="76">
        <v>0</v>
      </c>
      <c r="J444" s="76">
        <v>0</v>
      </c>
      <c r="K444" s="76">
        <v>0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76">
        <v>0</v>
      </c>
      <c r="R444" s="76">
        <v>0</v>
      </c>
      <c r="S444" s="76">
        <v>0</v>
      </c>
      <c r="T444" s="154">
        <f t="shared" si="42"/>
        <v>0</v>
      </c>
      <c r="U444" s="155"/>
      <c r="V444" s="243"/>
      <c r="W444" s="30"/>
      <c r="X444" s="30"/>
      <c r="Y444" s="30"/>
      <c r="Z444" s="30"/>
      <c r="AA444" s="30"/>
      <c r="AB444" s="30"/>
      <c r="AC444" s="31"/>
      <c r="AD444" s="31">
        <f t="shared" si="43"/>
        <v>0</v>
      </c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</row>
    <row r="445" spans="2:48" ht="12.75" hidden="1">
      <c r="B445" s="232" t="s">
        <v>961</v>
      </c>
      <c r="C445" s="235" t="s">
        <v>962</v>
      </c>
      <c r="D445" s="27">
        <v>0.01</v>
      </c>
      <c r="E445" s="281">
        <v>38443</v>
      </c>
      <c r="F445" s="282">
        <v>38777</v>
      </c>
      <c r="G445" s="336">
        <v>0.001</v>
      </c>
      <c r="H445" s="76" t="s">
        <v>1147</v>
      </c>
      <c r="I445" s="76"/>
      <c r="J445" s="76">
        <v>0.001</v>
      </c>
      <c r="K445" s="76">
        <v>0.001</v>
      </c>
      <c r="L445" s="76">
        <v>0.001</v>
      </c>
      <c r="M445" s="76">
        <v>0.001</v>
      </c>
      <c r="N445" s="76">
        <v>0.001</v>
      </c>
      <c r="O445" s="76">
        <v>0.001</v>
      </c>
      <c r="P445" s="76">
        <v>0.001</v>
      </c>
      <c r="Q445" s="76">
        <v>0.001</v>
      </c>
      <c r="R445" s="76">
        <v>0.001</v>
      </c>
      <c r="S445" s="76">
        <v>0.001</v>
      </c>
      <c r="T445" s="154">
        <f t="shared" si="42"/>
        <v>0.003</v>
      </c>
      <c r="U445" s="155"/>
      <c r="V445" s="243"/>
      <c r="W445" s="30"/>
      <c r="X445" s="30"/>
      <c r="Y445" s="30"/>
      <c r="Z445" s="30"/>
      <c r="AA445" s="30"/>
      <c r="AB445" s="30"/>
      <c r="AC445" s="31"/>
      <c r="AD445" s="31">
        <f t="shared" si="43"/>
        <v>0</v>
      </c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</row>
    <row r="446" spans="2:48" ht="12.75" hidden="1">
      <c r="B446" s="232" t="s">
        <v>963</v>
      </c>
      <c r="C446" s="235" t="s">
        <v>964</v>
      </c>
      <c r="D446" s="27">
        <v>0.005</v>
      </c>
      <c r="E446" s="281">
        <v>38443</v>
      </c>
      <c r="F446" s="282">
        <v>38777</v>
      </c>
      <c r="G446" s="336"/>
      <c r="H446" s="76" t="s">
        <v>1147</v>
      </c>
      <c r="I446" s="76">
        <v>0</v>
      </c>
      <c r="J446" s="76">
        <v>0</v>
      </c>
      <c r="K446" s="76">
        <v>0</v>
      </c>
      <c r="L446" s="76">
        <v>0</v>
      </c>
      <c r="M446" s="76">
        <v>0</v>
      </c>
      <c r="N446" s="76">
        <v>0</v>
      </c>
      <c r="O446" s="76">
        <v>0</v>
      </c>
      <c r="P446" s="76">
        <v>0</v>
      </c>
      <c r="Q446" s="76">
        <v>0</v>
      </c>
      <c r="R446" s="76">
        <v>0</v>
      </c>
      <c r="S446" s="76">
        <v>0.005</v>
      </c>
      <c r="T446" s="154">
        <f aca="true" t="shared" si="45" ref="T446:T483">SUM(H446:L446)</f>
        <v>0</v>
      </c>
      <c r="U446" s="155"/>
      <c r="V446" s="243"/>
      <c r="W446" s="30"/>
      <c r="X446" s="30"/>
      <c r="Y446" s="30"/>
      <c r="Z446" s="30"/>
      <c r="AA446" s="30"/>
      <c r="AB446" s="30"/>
      <c r="AC446" s="31"/>
      <c r="AD446" s="31">
        <f t="shared" si="43"/>
        <v>0</v>
      </c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</row>
    <row r="447" spans="2:48" ht="12.75" hidden="1">
      <c r="B447" s="232" t="s">
        <v>574</v>
      </c>
      <c r="C447" s="235" t="s">
        <v>575</v>
      </c>
      <c r="D447" s="27">
        <v>0.09</v>
      </c>
      <c r="E447" s="281"/>
      <c r="F447" s="282"/>
      <c r="G447" s="33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154"/>
      <c r="U447" s="155"/>
      <c r="V447" s="243"/>
      <c r="W447" s="30"/>
      <c r="X447" s="30"/>
      <c r="Y447" s="30"/>
      <c r="Z447" s="30"/>
      <c r="AA447" s="30"/>
      <c r="AB447" s="30"/>
      <c r="AC447" s="31"/>
      <c r="AD447" s="31">
        <f t="shared" si="43"/>
        <v>0</v>
      </c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</row>
    <row r="448" spans="2:48" ht="12.75" hidden="1">
      <c r="B448" s="232" t="s">
        <v>965</v>
      </c>
      <c r="C448" s="235" t="s">
        <v>966</v>
      </c>
      <c r="D448" s="27">
        <v>0.005</v>
      </c>
      <c r="E448" s="281">
        <v>37987</v>
      </c>
      <c r="F448" s="282">
        <v>38081</v>
      </c>
      <c r="G448" s="336"/>
      <c r="H448" s="76">
        <v>0.002</v>
      </c>
      <c r="I448" s="76">
        <v>0.002</v>
      </c>
      <c r="J448" s="76">
        <v>0.001</v>
      </c>
      <c r="K448" s="76"/>
      <c r="L448" s="76"/>
      <c r="M448" s="76"/>
      <c r="N448" s="76"/>
      <c r="O448" s="76"/>
      <c r="P448" s="76"/>
      <c r="Q448" s="76"/>
      <c r="R448" s="76"/>
      <c r="S448" s="76"/>
      <c r="T448" s="154">
        <f t="shared" si="45"/>
        <v>0.005</v>
      </c>
      <c r="U448" s="155"/>
      <c r="V448" s="243"/>
      <c r="W448" s="30"/>
      <c r="X448" s="30"/>
      <c r="Y448" s="30"/>
      <c r="Z448" s="30"/>
      <c r="AA448" s="30"/>
      <c r="AB448" s="30"/>
      <c r="AC448" s="31"/>
      <c r="AD448" s="31">
        <f t="shared" si="43"/>
        <v>0</v>
      </c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</row>
    <row r="449" spans="2:48" ht="12.75" hidden="1">
      <c r="B449" s="232" t="s">
        <v>967</v>
      </c>
      <c r="C449" s="235" t="s">
        <v>968</v>
      </c>
      <c r="D449" s="27">
        <v>0.013</v>
      </c>
      <c r="E449" s="281">
        <v>37956</v>
      </c>
      <c r="F449" s="282">
        <v>38108</v>
      </c>
      <c r="G449" s="336">
        <v>0.013</v>
      </c>
      <c r="H449" s="76">
        <v>0.001</v>
      </c>
      <c r="I449" s="76">
        <v>0.001</v>
      </c>
      <c r="J449" s="76">
        <v>0.001</v>
      </c>
      <c r="K449" s="76">
        <v>0.001</v>
      </c>
      <c r="L449" s="76">
        <v>0.001</v>
      </c>
      <c r="M449" s="76">
        <v>0.001</v>
      </c>
      <c r="N449" s="76"/>
      <c r="O449" s="76"/>
      <c r="P449" s="76"/>
      <c r="Q449" s="76"/>
      <c r="R449" s="76"/>
      <c r="S449" s="76"/>
      <c r="T449" s="154">
        <f t="shared" si="45"/>
        <v>0.005</v>
      </c>
      <c r="U449" s="155"/>
      <c r="V449" s="243"/>
      <c r="W449" s="30"/>
      <c r="X449" s="30"/>
      <c r="Y449" s="30"/>
      <c r="Z449" s="30"/>
      <c r="AA449" s="30"/>
      <c r="AB449" s="30"/>
      <c r="AC449" s="31"/>
      <c r="AD449" s="31">
        <f t="shared" si="43"/>
        <v>0</v>
      </c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</row>
    <row r="450" spans="2:48" ht="12.75" hidden="1">
      <c r="B450" s="232" t="s">
        <v>969</v>
      </c>
      <c r="C450" s="235" t="s">
        <v>970</v>
      </c>
      <c r="D450" s="27">
        <v>0.075</v>
      </c>
      <c r="E450" s="281">
        <v>38504</v>
      </c>
      <c r="F450" s="281">
        <v>38504</v>
      </c>
      <c r="G450" s="336">
        <v>0.001</v>
      </c>
      <c r="H450" s="76"/>
      <c r="I450" s="76">
        <v>0.001</v>
      </c>
      <c r="J450" s="76">
        <v>0.02</v>
      </c>
      <c r="K450" s="76">
        <v>0.001</v>
      </c>
      <c r="L450" s="76"/>
      <c r="M450" s="76">
        <v>0.015</v>
      </c>
      <c r="N450" s="76"/>
      <c r="O450" s="76">
        <v>0.015</v>
      </c>
      <c r="P450" s="76"/>
      <c r="Q450" s="76"/>
      <c r="R450" s="76"/>
      <c r="S450" s="76">
        <v>0.015</v>
      </c>
      <c r="T450" s="154">
        <f t="shared" si="45"/>
        <v>0.022000000000000002</v>
      </c>
      <c r="U450" s="155"/>
      <c r="V450" s="243">
        <v>38495</v>
      </c>
      <c r="W450" s="30"/>
      <c r="X450" s="30"/>
      <c r="Y450" s="30"/>
      <c r="Z450" s="30"/>
      <c r="AA450" s="30"/>
      <c r="AB450" s="30"/>
      <c r="AC450" s="31"/>
      <c r="AD450" s="31">
        <f t="shared" si="43"/>
        <v>0</v>
      </c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</row>
    <row r="451" spans="2:48" ht="12.75" hidden="1">
      <c r="B451" s="232" t="s">
        <v>971</v>
      </c>
      <c r="C451" s="235" t="s">
        <v>972</v>
      </c>
      <c r="D451" s="27">
        <v>0.02</v>
      </c>
      <c r="E451" s="281">
        <v>38231</v>
      </c>
      <c r="F451" s="282">
        <v>38777</v>
      </c>
      <c r="G451" s="336"/>
      <c r="H451" s="76"/>
      <c r="I451" s="76"/>
      <c r="J451" s="76"/>
      <c r="K451" s="76"/>
      <c r="L451" s="76"/>
      <c r="M451" s="76">
        <v>0.002</v>
      </c>
      <c r="N451" s="76">
        <v>0.003</v>
      </c>
      <c r="O451" s="76">
        <v>0.003</v>
      </c>
      <c r="P451" s="76">
        <v>0.003</v>
      </c>
      <c r="Q451" s="76">
        <v>0.003</v>
      </c>
      <c r="R451" s="76">
        <v>0.003</v>
      </c>
      <c r="S451" s="76">
        <v>0.003</v>
      </c>
      <c r="T451" s="154">
        <f t="shared" si="45"/>
        <v>0</v>
      </c>
      <c r="U451" s="155"/>
      <c r="V451" s="243"/>
      <c r="W451" s="30"/>
      <c r="X451" s="30"/>
      <c r="Y451" s="30"/>
      <c r="Z451" s="30"/>
      <c r="AA451" s="30"/>
      <c r="AB451" s="30"/>
      <c r="AC451" s="31"/>
      <c r="AD451" s="31">
        <f t="shared" si="43"/>
        <v>0</v>
      </c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</row>
    <row r="452" spans="2:48" ht="12.75" hidden="1">
      <c r="B452" s="232" t="s">
        <v>973</v>
      </c>
      <c r="C452" s="235" t="s">
        <v>974</v>
      </c>
      <c r="D452" s="27">
        <v>0.002</v>
      </c>
      <c r="E452" s="281">
        <v>38108</v>
      </c>
      <c r="F452" s="282">
        <v>38139</v>
      </c>
      <c r="G452" s="336">
        <v>0.001</v>
      </c>
      <c r="H452" s="76"/>
      <c r="I452" s="76"/>
      <c r="J452" s="76"/>
      <c r="K452" s="76">
        <v>0.002</v>
      </c>
      <c r="L452" s="76"/>
      <c r="M452" s="76"/>
      <c r="N452" s="76"/>
      <c r="O452" s="76"/>
      <c r="P452" s="76"/>
      <c r="Q452" s="76"/>
      <c r="R452" s="76"/>
      <c r="S452" s="76"/>
      <c r="T452" s="154">
        <f t="shared" si="45"/>
        <v>0.002</v>
      </c>
      <c r="U452" s="155"/>
      <c r="V452" s="243"/>
      <c r="W452" s="30"/>
      <c r="X452" s="30"/>
      <c r="Y452" s="30"/>
      <c r="Z452" s="30"/>
      <c r="AA452" s="30"/>
      <c r="AB452" s="30"/>
      <c r="AC452" s="31"/>
      <c r="AD452" s="31">
        <f t="shared" si="43"/>
        <v>0</v>
      </c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</row>
    <row r="453" spans="2:48" ht="12.75" hidden="1">
      <c r="B453" s="232" t="s">
        <v>975</v>
      </c>
      <c r="C453" s="235" t="s">
        <v>976</v>
      </c>
      <c r="D453" s="27">
        <v>0</v>
      </c>
      <c r="E453" s="281">
        <v>38018</v>
      </c>
      <c r="F453" s="282">
        <v>38169</v>
      </c>
      <c r="G453" s="336"/>
      <c r="H453" s="76">
        <v>0</v>
      </c>
      <c r="I453" s="76">
        <v>0</v>
      </c>
      <c r="J453" s="76">
        <v>0</v>
      </c>
      <c r="K453" s="76">
        <v>0</v>
      </c>
      <c r="L453" s="76">
        <v>0</v>
      </c>
      <c r="M453" s="76">
        <v>0</v>
      </c>
      <c r="N453" s="76">
        <v>0</v>
      </c>
      <c r="O453" s="76">
        <v>0</v>
      </c>
      <c r="P453" s="76">
        <v>0</v>
      </c>
      <c r="Q453" s="76">
        <v>0</v>
      </c>
      <c r="R453" s="76">
        <v>0</v>
      </c>
      <c r="S453" s="76">
        <v>0</v>
      </c>
      <c r="T453" s="154">
        <f t="shared" si="45"/>
        <v>0</v>
      </c>
      <c r="U453" s="155"/>
      <c r="V453" s="243"/>
      <c r="W453" s="30"/>
      <c r="X453" s="30"/>
      <c r="Y453" s="30"/>
      <c r="Z453" s="30"/>
      <c r="AA453" s="30"/>
      <c r="AB453" s="30"/>
      <c r="AC453" s="31"/>
      <c r="AD453" s="31">
        <f t="shared" si="43"/>
        <v>0</v>
      </c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</row>
    <row r="454" spans="2:48" ht="12.75" hidden="1">
      <c r="B454" s="232" t="s">
        <v>977</v>
      </c>
      <c r="C454" s="235" t="s">
        <v>978</v>
      </c>
      <c r="D454" s="27">
        <v>0</v>
      </c>
      <c r="E454" s="281">
        <v>38172</v>
      </c>
      <c r="F454" s="282">
        <v>38264</v>
      </c>
      <c r="G454" s="336"/>
      <c r="H454" s="76">
        <v>0</v>
      </c>
      <c r="I454" s="76">
        <v>0</v>
      </c>
      <c r="J454" s="76">
        <v>0</v>
      </c>
      <c r="K454" s="76">
        <v>0</v>
      </c>
      <c r="L454" s="76">
        <v>0</v>
      </c>
      <c r="M454" s="76">
        <v>0</v>
      </c>
      <c r="N454" s="76">
        <v>0</v>
      </c>
      <c r="O454" s="76">
        <v>0</v>
      </c>
      <c r="P454" s="76">
        <v>0</v>
      </c>
      <c r="Q454" s="76">
        <v>0</v>
      </c>
      <c r="R454" s="76">
        <v>0</v>
      </c>
      <c r="S454" s="76">
        <v>0</v>
      </c>
      <c r="T454" s="154">
        <f t="shared" si="45"/>
        <v>0</v>
      </c>
      <c r="U454" s="155"/>
      <c r="V454" s="243"/>
      <c r="W454" s="30"/>
      <c r="X454" s="30"/>
      <c r="Y454" s="30"/>
      <c r="Z454" s="30"/>
      <c r="AA454" s="30"/>
      <c r="AB454" s="30"/>
      <c r="AC454" s="31"/>
      <c r="AD454" s="31">
        <f t="shared" si="43"/>
        <v>0</v>
      </c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</row>
    <row r="455" spans="2:48" ht="12.75" hidden="1">
      <c r="B455" s="232" t="s">
        <v>979</v>
      </c>
      <c r="C455" s="235" t="s">
        <v>980</v>
      </c>
      <c r="D455" s="27">
        <v>0.002</v>
      </c>
      <c r="E455" s="281">
        <v>38172</v>
      </c>
      <c r="F455" s="282">
        <v>38264</v>
      </c>
      <c r="G455" s="336"/>
      <c r="H455" s="76"/>
      <c r="I455" s="76"/>
      <c r="J455" s="76"/>
      <c r="K455" s="76"/>
      <c r="L455" s="76"/>
      <c r="M455" s="76">
        <v>0.001</v>
      </c>
      <c r="N455" s="76">
        <v>0.001</v>
      </c>
      <c r="O455" s="76"/>
      <c r="P455" s="76"/>
      <c r="Q455" s="76"/>
      <c r="R455" s="76"/>
      <c r="S455" s="76"/>
      <c r="T455" s="154">
        <f t="shared" si="45"/>
        <v>0</v>
      </c>
      <c r="U455" s="155"/>
      <c r="V455" s="243"/>
      <c r="W455" s="30"/>
      <c r="X455" s="30"/>
      <c r="Y455" s="30"/>
      <c r="Z455" s="30"/>
      <c r="AA455" s="30"/>
      <c r="AB455" s="30"/>
      <c r="AC455" s="31"/>
      <c r="AD455" s="31">
        <f t="shared" si="43"/>
        <v>0</v>
      </c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</row>
    <row r="456" spans="2:48" ht="12.75" hidden="1">
      <c r="B456" s="232" t="s">
        <v>981</v>
      </c>
      <c r="C456" s="235" t="s">
        <v>982</v>
      </c>
      <c r="D456" s="27">
        <v>0.005</v>
      </c>
      <c r="E456" s="281">
        <v>38203</v>
      </c>
      <c r="F456" s="282">
        <v>38264</v>
      </c>
      <c r="G456" s="336">
        <v>0.004</v>
      </c>
      <c r="H456" s="76"/>
      <c r="I456" s="76"/>
      <c r="J456" s="76"/>
      <c r="K456" s="76"/>
      <c r="L456" s="76"/>
      <c r="M456" s="76">
        <v>0.002</v>
      </c>
      <c r="N456" s="76">
        <v>0.003</v>
      </c>
      <c r="O456" s="76"/>
      <c r="P456" s="76"/>
      <c r="Q456" s="76"/>
      <c r="R456" s="76"/>
      <c r="S456" s="76"/>
      <c r="T456" s="154">
        <f t="shared" si="45"/>
        <v>0</v>
      </c>
      <c r="U456" s="155"/>
      <c r="V456" s="243"/>
      <c r="W456" s="30"/>
      <c r="X456" s="30"/>
      <c r="Y456" s="30"/>
      <c r="Z456" s="30"/>
      <c r="AA456" s="30"/>
      <c r="AB456" s="30"/>
      <c r="AC456" s="31"/>
      <c r="AD456" s="31">
        <f t="shared" si="43"/>
        <v>0</v>
      </c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</row>
    <row r="457" spans="2:48" ht="12.75" hidden="1">
      <c r="B457" s="232" t="s">
        <v>983</v>
      </c>
      <c r="C457" s="235" t="s">
        <v>984</v>
      </c>
      <c r="D457" s="27">
        <v>0</v>
      </c>
      <c r="E457" s="281">
        <v>38447</v>
      </c>
      <c r="F457" s="282">
        <v>38569</v>
      </c>
      <c r="G457" s="336"/>
      <c r="H457" s="76" t="s">
        <v>1147</v>
      </c>
      <c r="I457" s="76">
        <v>0.019</v>
      </c>
      <c r="J457" s="76">
        <v>0.019</v>
      </c>
      <c r="K457" s="76">
        <v>0.019</v>
      </c>
      <c r="L457" s="76">
        <v>0.019</v>
      </c>
      <c r="M457" s="76"/>
      <c r="N457" s="76"/>
      <c r="O457" s="76"/>
      <c r="P457" s="76"/>
      <c r="Q457" s="76"/>
      <c r="R457" s="76"/>
      <c r="S457" s="76"/>
      <c r="T457" s="154">
        <f t="shared" si="45"/>
        <v>0.076</v>
      </c>
      <c r="U457" s="155"/>
      <c r="V457" s="243"/>
      <c r="W457" s="30"/>
      <c r="X457" s="30"/>
      <c r="Y457" s="30"/>
      <c r="Z457" s="30"/>
      <c r="AA457" s="30"/>
      <c r="AB457" s="30"/>
      <c r="AC457" s="31"/>
      <c r="AD457" s="31">
        <f t="shared" si="43"/>
        <v>0</v>
      </c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</row>
    <row r="458" spans="2:48" ht="12.75" hidden="1">
      <c r="B458" s="232" t="s">
        <v>985</v>
      </c>
      <c r="C458" s="235" t="s">
        <v>986</v>
      </c>
      <c r="D458" s="27">
        <v>0.003</v>
      </c>
      <c r="E458" s="281" t="s">
        <v>987</v>
      </c>
      <c r="F458" s="282" t="s">
        <v>987</v>
      </c>
      <c r="G458" s="336"/>
      <c r="H458" s="76" t="s">
        <v>1147</v>
      </c>
      <c r="I458" s="76" t="s">
        <v>1147</v>
      </c>
      <c r="J458" s="76" t="s">
        <v>1147</v>
      </c>
      <c r="K458" s="76" t="s">
        <v>1147</v>
      </c>
      <c r="L458" s="76" t="s">
        <v>1147</v>
      </c>
      <c r="M458" s="76" t="s">
        <v>1147</v>
      </c>
      <c r="N458" s="76" t="s">
        <v>1147</v>
      </c>
      <c r="O458" s="76" t="s">
        <v>1147</v>
      </c>
      <c r="P458" s="76" t="s">
        <v>1147</v>
      </c>
      <c r="Q458" s="76" t="s">
        <v>1147</v>
      </c>
      <c r="R458" s="76" t="s">
        <v>1147</v>
      </c>
      <c r="S458" s="76">
        <v>0.003</v>
      </c>
      <c r="T458" s="154">
        <f t="shared" si="45"/>
        <v>0</v>
      </c>
      <c r="U458" s="155"/>
      <c r="V458" s="243"/>
      <c r="W458" s="30"/>
      <c r="X458" s="30"/>
      <c r="Y458" s="30"/>
      <c r="Z458" s="30"/>
      <c r="AA458" s="30"/>
      <c r="AB458" s="30"/>
      <c r="AC458" s="31"/>
      <c r="AD458" s="31">
        <f t="shared" si="43"/>
        <v>0</v>
      </c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</row>
    <row r="459" spans="2:48" ht="12.75" hidden="1">
      <c r="B459" s="232" t="s">
        <v>988</v>
      </c>
      <c r="C459" s="235" t="s">
        <v>989</v>
      </c>
      <c r="D459" s="27">
        <v>0.009</v>
      </c>
      <c r="E459" s="281">
        <v>38357</v>
      </c>
      <c r="F459" s="282">
        <v>38416</v>
      </c>
      <c r="G459" s="336">
        <v>0.009</v>
      </c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>
        <v>0.003</v>
      </c>
      <c r="S459" s="76">
        <v>0.003</v>
      </c>
      <c r="T459" s="154">
        <f t="shared" si="45"/>
        <v>0</v>
      </c>
      <c r="U459" s="155"/>
      <c r="V459" s="243"/>
      <c r="W459" s="30"/>
      <c r="X459" s="30"/>
      <c r="Y459" s="30"/>
      <c r="Z459" s="30"/>
      <c r="AA459" s="30"/>
      <c r="AB459" s="30"/>
      <c r="AC459" s="31"/>
      <c r="AD459" s="31">
        <f t="shared" si="43"/>
        <v>0</v>
      </c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</row>
    <row r="460" spans="2:48" ht="12.75" hidden="1">
      <c r="B460" s="232" t="s">
        <v>990</v>
      </c>
      <c r="C460" s="235" t="s">
        <v>991</v>
      </c>
      <c r="D460" s="27">
        <v>0.1</v>
      </c>
      <c r="E460" s="281">
        <v>38626</v>
      </c>
      <c r="F460" s="282">
        <v>38991</v>
      </c>
      <c r="G460" s="336">
        <v>0.014</v>
      </c>
      <c r="H460" s="76" t="s">
        <v>1147</v>
      </c>
      <c r="I460" s="76" t="s">
        <v>1147</v>
      </c>
      <c r="J460" s="76" t="s">
        <v>1147</v>
      </c>
      <c r="K460" s="76" t="s">
        <v>1147</v>
      </c>
      <c r="L460" s="76" t="s">
        <v>1147</v>
      </c>
      <c r="M460" s="76" t="s">
        <v>1147</v>
      </c>
      <c r="N460" s="76">
        <v>0.016</v>
      </c>
      <c r="O460" s="76">
        <v>0.016</v>
      </c>
      <c r="P460" s="76">
        <v>0.016</v>
      </c>
      <c r="Q460" s="76">
        <v>0.016</v>
      </c>
      <c r="R460" s="76">
        <v>0.016</v>
      </c>
      <c r="S460" s="76">
        <v>0.02</v>
      </c>
      <c r="T460" s="154">
        <f t="shared" si="45"/>
        <v>0</v>
      </c>
      <c r="U460" s="155"/>
      <c r="V460" s="243"/>
      <c r="W460" s="30"/>
      <c r="X460" s="30"/>
      <c r="Y460" s="30"/>
      <c r="Z460" s="30"/>
      <c r="AA460" s="30"/>
      <c r="AB460" s="30"/>
      <c r="AC460" s="31"/>
      <c r="AD460" s="31">
        <f t="shared" si="43"/>
        <v>0</v>
      </c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</row>
    <row r="461" spans="2:48" ht="12.75" hidden="1">
      <c r="B461" s="232" t="s">
        <v>992</v>
      </c>
      <c r="C461" s="235" t="s">
        <v>993</v>
      </c>
      <c r="D461" s="27">
        <v>0.025</v>
      </c>
      <c r="E461" s="281">
        <v>38687</v>
      </c>
      <c r="F461" s="282">
        <v>38687</v>
      </c>
      <c r="G461" s="336"/>
      <c r="H461" s="76" t="s">
        <v>1147</v>
      </c>
      <c r="I461" s="76" t="s">
        <v>1147</v>
      </c>
      <c r="J461" s="76" t="s">
        <v>1147</v>
      </c>
      <c r="K461" s="76" t="s">
        <v>1147</v>
      </c>
      <c r="L461" s="76" t="s">
        <v>1147</v>
      </c>
      <c r="M461" s="76" t="s">
        <v>1147</v>
      </c>
      <c r="N461" s="76" t="s">
        <v>1147</v>
      </c>
      <c r="O461" s="76" t="s">
        <v>1147</v>
      </c>
      <c r="P461" s="76" t="s">
        <v>1147</v>
      </c>
      <c r="Q461" s="76"/>
      <c r="R461" s="76">
        <v>0.025</v>
      </c>
      <c r="S461" s="76"/>
      <c r="T461" s="154">
        <f t="shared" si="45"/>
        <v>0</v>
      </c>
      <c r="U461" s="155"/>
      <c r="V461" s="243"/>
      <c r="W461" s="30"/>
      <c r="X461" s="30"/>
      <c r="Y461" s="30"/>
      <c r="Z461" s="30"/>
      <c r="AA461" s="30"/>
      <c r="AB461" s="30"/>
      <c r="AC461" s="31"/>
      <c r="AD461" s="31">
        <f t="shared" si="43"/>
        <v>0</v>
      </c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</row>
    <row r="462" spans="2:48" ht="12.75" hidden="1">
      <c r="B462" s="232" t="s">
        <v>994</v>
      </c>
      <c r="C462" s="236" t="s">
        <v>995</v>
      </c>
      <c r="D462" s="27">
        <v>0.055</v>
      </c>
      <c r="E462" s="281">
        <v>38718</v>
      </c>
      <c r="F462" s="282">
        <v>38749</v>
      </c>
      <c r="G462" s="336"/>
      <c r="H462" s="76" t="s">
        <v>1147</v>
      </c>
      <c r="I462" s="76" t="s">
        <v>1147</v>
      </c>
      <c r="J462" s="76" t="s">
        <v>1147</v>
      </c>
      <c r="K462" s="76" t="s">
        <v>1147</v>
      </c>
      <c r="L462" s="76" t="s">
        <v>1147</v>
      </c>
      <c r="M462" s="76" t="s">
        <v>1147</v>
      </c>
      <c r="N462" s="76" t="s">
        <v>1147</v>
      </c>
      <c r="O462" s="76" t="s">
        <v>1147</v>
      </c>
      <c r="P462" s="76" t="s">
        <v>1147</v>
      </c>
      <c r="Q462" s="76" t="s">
        <v>1147</v>
      </c>
      <c r="R462" s="76"/>
      <c r="S462" s="76">
        <v>0.055</v>
      </c>
      <c r="T462" s="154">
        <f t="shared" si="45"/>
        <v>0</v>
      </c>
      <c r="U462" s="155"/>
      <c r="V462" s="243"/>
      <c r="W462" s="30"/>
      <c r="X462" s="30"/>
      <c r="Y462" s="30"/>
      <c r="Z462" s="30"/>
      <c r="AA462" s="30"/>
      <c r="AB462" s="30"/>
      <c r="AC462" s="31"/>
      <c r="AD462" s="31">
        <f t="shared" si="43"/>
        <v>0</v>
      </c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</row>
    <row r="463" spans="2:48" ht="12.75" hidden="1">
      <c r="B463" s="232" t="s">
        <v>996</v>
      </c>
      <c r="C463" s="235" t="s">
        <v>997</v>
      </c>
      <c r="D463" s="27">
        <v>0.115</v>
      </c>
      <c r="E463" s="281">
        <v>38718</v>
      </c>
      <c r="F463" s="282">
        <v>38777</v>
      </c>
      <c r="G463" s="336"/>
      <c r="H463" s="76" t="s">
        <v>1147</v>
      </c>
      <c r="I463" s="76" t="s">
        <v>1147</v>
      </c>
      <c r="J463" s="76" t="s">
        <v>1147</v>
      </c>
      <c r="K463" s="76" t="s">
        <v>1147</v>
      </c>
      <c r="L463" s="76" t="s">
        <v>1147</v>
      </c>
      <c r="M463" s="76" t="s">
        <v>1147</v>
      </c>
      <c r="N463" s="76" t="s">
        <v>1147</v>
      </c>
      <c r="O463" s="76" t="s">
        <v>1147</v>
      </c>
      <c r="P463" s="76" t="s">
        <v>1147</v>
      </c>
      <c r="Q463" s="76" t="s">
        <v>1147</v>
      </c>
      <c r="R463" s="76">
        <v>0.058</v>
      </c>
      <c r="S463" s="76">
        <v>0.058</v>
      </c>
      <c r="T463" s="154">
        <f t="shared" si="45"/>
        <v>0</v>
      </c>
      <c r="U463" s="155"/>
      <c r="V463" s="243"/>
      <c r="W463" s="30"/>
      <c r="X463" s="30"/>
      <c r="Y463" s="30"/>
      <c r="Z463" s="30"/>
      <c r="AA463" s="30"/>
      <c r="AB463" s="30"/>
      <c r="AC463" s="31"/>
      <c r="AD463" s="31">
        <f t="shared" si="43"/>
        <v>0</v>
      </c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</row>
    <row r="464" spans="2:48" ht="12.75" hidden="1">
      <c r="B464" s="232" t="s">
        <v>998</v>
      </c>
      <c r="C464" s="235" t="s">
        <v>999</v>
      </c>
      <c r="D464" s="27">
        <v>0</v>
      </c>
      <c r="E464" s="281">
        <v>38565</v>
      </c>
      <c r="F464" s="282">
        <v>38596</v>
      </c>
      <c r="G464" s="336"/>
      <c r="H464" s="76" t="s">
        <v>1147</v>
      </c>
      <c r="I464" s="76" t="s">
        <v>1147</v>
      </c>
      <c r="J464" s="76" t="s">
        <v>1147</v>
      </c>
      <c r="K464" s="76" t="s">
        <v>1147</v>
      </c>
      <c r="L464" s="76"/>
      <c r="M464" s="76"/>
      <c r="N464" s="76"/>
      <c r="O464" s="76"/>
      <c r="P464" s="76"/>
      <c r="Q464" s="76"/>
      <c r="R464" s="76"/>
      <c r="S464" s="76">
        <v>0.05</v>
      </c>
      <c r="T464" s="154">
        <f t="shared" si="45"/>
        <v>0</v>
      </c>
      <c r="U464" s="155"/>
      <c r="V464" s="243"/>
      <c r="W464" s="30"/>
      <c r="X464" s="30"/>
      <c r="Y464" s="30"/>
      <c r="Z464" s="30"/>
      <c r="AA464" s="30"/>
      <c r="AB464" s="30"/>
      <c r="AC464" s="31"/>
      <c r="AD464" s="31">
        <f t="shared" si="43"/>
        <v>0</v>
      </c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</row>
    <row r="465" spans="2:48" ht="12.75" hidden="1">
      <c r="B465" s="232" t="s">
        <v>1000</v>
      </c>
      <c r="C465" s="235" t="s">
        <v>1001</v>
      </c>
      <c r="D465" s="27">
        <v>0.1</v>
      </c>
      <c r="E465" s="281">
        <v>38534</v>
      </c>
      <c r="F465" s="282">
        <v>38596</v>
      </c>
      <c r="G465" s="336">
        <v>0.006</v>
      </c>
      <c r="H465" s="76" t="s">
        <v>1147</v>
      </c>
      <c r="I465" s="76" t="s">
        <v>1147</v>
      </c>
      <c r="J465" s="76"/>
      <c r="K465" s="76"/>
      <c r="L465" s="76"/>
      <c r="M465" s="76"/>
      <c r="N465" s="76"/>
      <c r="O465" s="76"/>
      <c r="P465" s="76"/>
      <c r="Q465" s="76"/>
      <c r="R465" s="76">
        <v>0.05</v>
      </c>
      <c r="S465" s="76">
        <v>0.05</v>
      </c>
      <c r="T465" s="154">
        <f t="shared" si="45"/>
        <v>0</v>
      </c>
      <c r="U465" s="155"/>
      <c r="V465" s="243"/>
      <c r="W465" s="30"/>
      <c r="X465" s="30"/>
      <c r="Y465" s="30"/>
      <c r="Z465" s="30"/>
      <c r="AA465" s="30"/>
      <c r="AB465" s="30"/>
      <c r="AC465" s="31"/>
      <c r="AD465" s="31">
        <f t="shared" si="43"/>
        <v>0</v>
      </c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</row>
    <row r="466" spans="2:48" ht="12.75" hidden="1">
      <c r="B466" s="232" t="s">
        <v>1002</v>
      </c>
      <c r="C466" s="235" t="s">
        <v>1003</v>
      </c>
      <c r="D466" s="27">
        <v>0.03</v>
      </c>
      <c r="E466" s="281">
        <v>38473</v>
      </c>
      <c r="F466" s="282">
        <v>38534</v>
      </c>
      <c r="G466" s="336">
        <v>0.025</v>
      </c>
      <c r="H466" s="76" t="s">
        <v>1147</v>
      </c>
      <c r="I466" s="76">
        <v>0.012</v>
      </c>
      <c r="J466" s="76">
        <v>0.012</v>
      </c>
      <c r="K466" s="76">
        <v>0.003</v>
      </c>
      <c r="L466" s="76"/>
      <c r="M466" s="76"/>
      <c r="N466" s="76"/>
      <c r="O466" s="76"/>
      <c r="P466" s="76"/>
      <c r="Q466" s="76"/>
      <c r="R466" s="76"/>
      <c r="S466" s="76"/>
      <c r="T466" s="154">
        <f t="shared" si="45"/>
        <v>0.027</v>
      </c>
      <c r="U466" s="155"/>
      <c r="V466" s="243">
        <v>38488</v>
      </c>
      <c r="W466" s="30"/>
      <c r="X466" s="30"/>
      <c r="Y466" s="30"/>
      <c r="Z466" s="30"/>
      <c r="AA466" s="30"/>
      <c r="AB466" s="30"/>
      <c r="AC466" s="31"/>
      <c r="AD466" s="31">
        <f t="shared" si="43"/>
        <v>0</v>
      </c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</row>
    <row r="467" spans="2:48" ht="12.75" hidden="1">
      <c r="B467" s="232" t="s">
        <v>1004</v>
      </c>
      <c r="C467" s="235" t="s">
        <v>1005</v>
      </c>
      <c r="D467" s="27">
        <v>0.15</v>
      </c>
      <c r="E467" s="281">
        <v>38626</v>
      </c>
      <c r="F467" s="282">
        <v>38657</v>
      </c>
      <c r="G467" s="336">
        <v>0.002</v>
      </c>
      <c r="H467" s="76"/>
      <c r="I467" s="76"/>
      <c r="J467" s="76"/>
      <c r="K467" s="76"/>
      <c r="L467" s="76"/>
      <c r="M467" s="76"/>
      <c r="N467" s="76"/>
      <c r="O467" s="76">
        <v>0.048</v>
      </c>
      <c r="P467" s="76">
        <v>0.047</v>
      </c>
      <c r="Q467" s="76"/>
      <c r="R467" s="76"/>
      <c r="S467" s="76"/>
      <c r="T467" s="154">
        <f t="shared" si="45"/>
        <v>0</v>
      </c>
      <c r="U467" s="155"/>
      <c r="V467" s="243"/>
      <c r="W467" s="30"/>
      <c r="X467" s="30"/>
      <c r="Y467" s="30"/>
      <c r="Z467" s="30"/>
      <c r="AA467" s="30"/>
      <c r="AB467" s="30"/>
      <c r="AC467" s="31"/>
      <c r="AD467" s="31">
        <f t="shared" si="43"/>
        <v>0</v>
      </c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</row>
    <row r="468" spans="2:48" ht="12.75" hidden="1">
      <c r="B468" s="232" t="s">
        <v>1006</v>
      </c>
      <c r="C468" s="235" t="s">
        <v>1007</v>
      </c>
      <c r="D468" s="27">
        <v>0.026</v>
      </c>
      <c r="E468" s="281">
        <v>38412</v>
      </c>
      <c r="F468" s="282">
        <v>38412</v>
      </c>
      <c r="G468" s="336">
        <v>0.007</v>
      </c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>
        <v>0.026</v>
      </c>
      <c r="T468" s="154">
        <f t="shared" si="45"/>
        <v>0</v>
      </c>
      <c r="U468" s="155"/>
      <c r="V468" s="243"/>
      <c r="W468" s="30"/>
      <c r="X468" s="30"/>
      <c r="Y468" s="30"/>
      <c r="Z468" s="30"/>
      <c r="AA468" s="30"/>
      <c r="AB468" s="30"/>
      <c r="AC468" s="31"/>
      <c r="AD468" s="31">
        <f t="shared" si="43"/>
        <v>0</v>
      </c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</row>
    <row r="469" spans="2:48" ht="12" customHeight="1">
      <c r="B469" s="181" t="s">
        <v>858</v>
      </c>
      <c r="C469" s="94" t="s">
        <v>811</v>
      </c>
      <c r="D469" s="9">
        <f>SUM(D444:D468)</f>
        <v>0.8400000000000001</v>
      </c>
      <c r="E469" s="283">
        <v>38078</v>
      </c>
      <c r="F469" s="284">
        <v>38412</v>
      </c>
      <c r="G469" s="335">
        <f>SUM(G444:G468)</f>
        <v>0.083</v>
      </c>
      <c r="H469" s="238">
        <f>SUM(H444:H468)</f>
        <v>0.003</v>
      </c>
      <c r="I469" s="238">
        <f aca="true" t="shared" si="46" ref="I469:S469">SUM(I444:I468)</f>
        <v>0.035</v>
      </c>
      <c r="J469" s="238">
        <f t="shared" si="46"/>
        <v>0.05399999999999999</v>
      </c>
      <c r="K469" s="238">
        <f t="shared" si="46"/>
        <v>0.027</v>
      </c>
      <c r="L469" s="238">
        <f t="shared" si="46"/>
        <v>0.020999999999999998</v>
      </c>
      <c r="M469" s="238">
        <f t="shared" si="46"/>
        <v>0.022000000000000006</v>
      </c>
      <c r="N469" s="238">
        <f t="shared" si="46"/>
        <v>0.024</v>
      </c>
      <c r="O469" s="238">
        <f t="shared" si="46"/>
        <v>0.083</v>
      </c>
      <c r="P469" s="238">
        <f t="shared" si="46"/>
        <v>0.067</v>
      </c>
      <c r="Q469" s="238">
        <f t="shared" si="46"/>
        <v>0.02</v>
      </c>
      <c r="R469" s="238">
        <f t="shared" si="46"/>
        <v>0.15600000000000003</v>
      </c>
      <c r="S469" s="238">
        <f t="shared" si="46"/>
        <v>0.28900000000000003</v>
      </c>
      <c r="T469" s="154">
        <f t="shared" si="45"/>
        <v>0.13999999999999999</v>
      </c>
      <c r="U469" s="155"/>
      <c r="V469" s="243"/>
      <c r="W469" s="149"/>
      <c r="X469" s="149"/>
      <c r="Y469" s="149"/>
      <c r="Z469" s="149"/>
      <c r="AA469" s="149"/>
      <c r="AB469" s="149"/>
      <c r="AC469" s="149"/>
      <c r="AD469" s="31">
        <f t="shared" si="43"/>
        <v>0</v>
      </c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</row>
    <row r="470" spans="2:48" ht="14.25" customHeight="1" hidden="1">
      <c r="B470" s="232" t="s">
        <v>1008</v>
      </c>
      <c r="C470" s="235" t="s">
        <v>1148</v>
      </c>
      <c r="D470" s="27">
        <v>0.001</v>
      </c>
      <c r="E470" s="281" t="s">
        <v>684</v>
      </c>
      <c r="F470" s="282" t="s">
        <v>684</v>
      </c>
      <c r="G470" s="9">
        <v>0.001</v>
      </c>
      <c r="H470" s="83" t="s">
        <v>1147</v>
      </c>
      <c r="I470" s="12" t="s">
        <v>1147</v>
      </c>
      <c r="J470" s="12" t="s">
        <v>1147</v>
      </c>
      <c r="K470" s="12" t="s">
        <v>1147</v>
      </c>
      <c r="L470" s="12" t="s">
        <v>1147</v>
      </c>
      <c r="M470" s="12" t="s">
        <v>1147</v>
      </c>
      <c r="N470" s="12" t="s">
        <v>1147</v>
      </c>
      <c r="O470" s="12" t="s">
        <v>1147</v>
      </c>
      <c r="P470" s="12" t="s">
        <v>1147</v>
      </c>
      <c r="Q470" s="12" t="s">
        <v>1147</v>
      </c>
      <c r="R470" s="12" t="s">
        <v>1147</v>
      </c>
      <c r="S470" s="87" t="s">
        <v>1147</v>
      </c>
      <c r="T470" s="154">
        <f t="shared" si="45"/>
        <v>0</v>
      </c>
      <c r="U470" s="155"/>
      <c r="V470" s="243"/>
      <c r="W470" s="30"/>
      <c r="X470" s="30"/>
      <c r="Y470" s="30"/>
      <c r="Z470" s="30"/>
      <c r="AA470" s="30"/>
      <c r="AB470" s="30"/>
      <c r="AC470" s="31"/>
      <c r="AD470" s="31">
        <f t="shared" si="43"/>
        <v>0</v>
      </c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</row>
    <row r="471" spans="2:48" ht="14.25" customHeight="1" hidden="1">
      <c r="B471" s="232" t="s">
        <v>354</v>
      </c>
      <c r="C471" s="235" t="s">
        <v>355</v>
      </c>
      <c r="D471" s="27"/>
      <c r="E471" s="281"/>
      <c r="F471" s="282"/>
      <c r="G471" s="9">
        <v>0.001</v>
      </c>
      <c r="H471" s="83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54"/>
      <c r="U471" s="155"/>
      <c r="V471" s="243"/>
      <c r="W471" s="30"/>
      <c r="X471" s="30"/>
      <c r="Y471" s="30"/>
      <c r="Z471" s="30"/>
      <c r="AA471" s="30"/>
      <c r="AB471" s="30"/>
      <c r="AC471" s="31"/>
      <c r="AD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</row>
    <row r="472" spans="2:48" ht="14.25" customHeight="1" hidden="1">
      <c r="B472" s="232" t="s">
        <v>356</v>
      </c>
      <c r="C472" s="235" t="s">
        <v>357</v>
      </c>
      <c r="D472" s="27"/>
      <c r="E472" s="281"/>
      <c r="F472" s="282"/>
      <c r="G472" s="9">
        <v>0.001</v>
      </c>
      <c r="H472" s="83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54"/>
      <c r="U472" s="155"/>
      <c r="V472" s="243"/>
      <c r="W472" s="30"/>
      <c r="X472" s="30"/>
      <c r="Y472" s="30"/>
      <c r="Z472" s="30"/>
      <c r="AA472" s="30"/>
      <c r="AB472" s="30"/>
      <c r="AC472" s="31"/>
      <c r="AD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</row>
    <row r="473" spans="2:48" ht="14.25" customHeight="1" hidden="1">
      <c r="B473" s="232" t="s">
        <v>352</v>
      </c>
      <c r="C473" s="235" t="s">
        <v>353</v>
      </c>
      <c r="D473" s="27"/>
      <c r="E473" s="281"/>
      <c r="F473" s="282"/>
      <c r="G473" s="9">
        <v>0.001</v>
      </c>
      <c r="H473" s="83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54"/>
      <c r="U473" s="155"/>
      <c r="V473" s="243"/>
      <c r="W473" s="30"/>
      <c r="X473" s="30"/>
      <c r="Y473" s="30"/>
      <c r="Z473" s="30"/>
      <c r="AA473" s="30"/>
      <c r="AB473" s="30"/>
      <c r="AC473" s="31"/>
      <c r="AD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</row>
    <row r="474" spans="2:48" ht="12.75" hidden="1">
      <c r="B474" s="232" t="s">
        <v>1009</v>
      </c>
      <c r="C474" s="235" t="s">
        <v>1010</v>
      </c>
      <c r="D474" s="27">
        <v>0.06</v>
      </c>
      <c r="E474" s="281">
        <v>37834</v>
      </c>
      <c r="F474" s="282">
        <v>37956</v>
      </c>
      <c r="G474" s="9">
        <v>0.036</v>
      </c>
      <c r="H474" s="83"/>
      <c r="I474" s="12"/>
      <c r="J474" s="12"/>
      <c r="K474" s="12"/>
      <c r="L474" s="12"/>
      <c r="M474" s="12"/>
      <c r="N474" s="12"/>
      <c r="O474" s="12"/>
      <c r="P474" s="12"/>
      <c r="Q474" s="12"/>
      <c r="R474" s="12">
        <v>0.03</v>
      </c>
      <c r="S474" s="12">
        <v>0.03</v>
      </c>
      <c r="T474" s="154">
        <f t="shared" si="45"/>
        <v>0</v>
      </c>
      <c r="U474" s="155"/>
      <c r="V474" s="243"/>
      <c r="W474" s="30"/>
      <c r="X474" s="30"/>
      <c r="Y474" s="30"/>
      <c r="Z474" s="30"/>
      <c r="AA474" s="30"/>
      <c r="AB474" s="30"/>
      <c r="AC474" s="31"/>
      <c r="AD474" s="31">
        <f t="shared" si="43"/>
        <v>0</v>
      </c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</row>
    <row r="475" spans="2:48" ht="12.75" hidden="1">
      <c r="B475" s="232" t="s">
        <v>1011</v>
      </c>
      <c r="C475" s="235" t="s">
        <v>1149</v>
      </c>
      <c r="D475" s="27">
        <v>0</v>
      </c>
      <c r="E475" s="281" t="s">
        <v>684</v>
      </c>
      <c r="F475" s="282" t="s">
        <v>684</v>
      </c>
      <c r="G475" s="9"/>
      <c r="H475" s="83" t="s">
        <v>1147</v>
      </c>
      <c r="I475" s="12" t="s">
        <v>1147</v>
      </c>
      <c r="J475" s="12" t="s">
        <v>1147</v>
      </c>
      <c r="K475" s="12" t="s">
        <v>1147</v>
      </c>
      <c r="L475" s="12" t="s">
        <v>1147</v>
      </c>
      <c r="M475" s="12" t="s">
        <v>1147</v>
      </c>
      <c r="N475" s="12" t="s">
        <v>1147</v>
      </c>
      <c r="O475" s="12" t="s">
        <v>1147</v>
      </c>
      <c r="P475" s="12" t="s">
        <v>1147</v>
      </c>
      <c r="Q475" s="12" t="s">
        <v>1147</v>
      </c>
      <c r="R475" s="12" t="s">
        <v>1147</v>
      </c>
      <c r="S475" s="12" t="s">
        <v>1147</v>
      </c>
      <c r="T475" s="154">
        <f t="shared" si="45"/>
        <v>0</v>
      </c>
      <c r="U475" s="155"/>
      <c r="V475" s="243"/>
      <c r="W475" s="30"/>
      <c r="X475" s="30"/>
      <c r="Y475" s="30"/>
      <c r="Z475" s="30"/>
      <c r="AA475" s="30"/>
      <c r="AB475" s="30"/>
      <c r="AC475" s="31"/>
      <c r="AD475" s="31">
        <f t="shared" si="43"/>
        <v>0</v>
      </c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</row>
    <row r="476" spans="2:48" ht="12.75" hidden="1">
      <c r="B476" s="232" t="s">
        <v>1012</v>
      </c>
      <c r="C476" s="235" t="s">
        <v>1013</v>
      </c>
      <c r="D476" s="27">
        <v>0.02</v>
      </c>
      <c r="E476" s="281">
        <v>38078</v>
      </c>
      <c r="F476" s="282">
        <v>38412</v>
      </c>
      <c r="G476" s="9"/>
      <c r="H476" s="83"/>
      <c r="I476" s="12"/>
      <c r="J476" s="12">
        <v>0.002</v>
      </c>
      <c r="K476" s="12">
        <v>0.002</v>
      </c>
      <c r="L476" s="12">
        <v>0.002</v>
      </c>
      <c r="M476" s="12">
        <v>0.002</v>
      </c>
      <c r="N476" s="12">
        <v>0.002</v>
      </c>
      <c r="O476" s="12">
        <v>0.002</v>
      </c>
      <c r="P476" s="12">
        <v>0.002</v>
      </c>
      <c r="Q476" s="12">
        <v>0.002</v>
      </c>
      <c r="R476" s="12">
        <v>0.002</v>
      </c>
      <c r="S476" s="12">
        <v>0.002</v>
      </c>
      <c r="T476" s="154">
        <f t="shared" si="45"/>
        <v>0.006</v>
      </c>
      <c r="U476" s="155"/>
      <c r="V476" s="243"/>
      <c r="W476" s="30"/>
      <c r="X476" s="30"/>
      <c r="Y476" s="30"/>
      <c r="Z476" s="30"/>
      <c r="AA476" s="30"/>
      <c r="AB476" s="30"/>
      <c r="AC476" s="31"/>
      <c r="AD476" s="31">
        <f t="shared" si="43"/>
        <v>0</v>
      </c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</row>
    <row r="477" spans="2:48" ht="12.75" hidden="1">
      <c r="B477" s="232" t="s">
        <v>1014</v>
      </c>
      <c r="C477" s="235" t="s">
        <v>1150</v>
      </c>
      <c r="D477" s="27">
        <v>0.008</v>
      </c>
      <c r="E477" s="281">
        <v>37987</v>
      </c>
      <c r="F477" s="282">
        <v>38139</v>
      </c>
      <c r="G477" s="9"/>
      <c r="H477" s="83">
        <v>0.002</v>
      </c>
      <c r="I477" s="12">
        <v>0.002</v>
      </c>
      <c r="J477" s="12">
        <v>0.002</v>
      </c>
      <c r="K477" s="12">
        <v>0.002</v>
      </c>
      <c r="L477" s="12"/>
      <c r="M477" s="12"/>
      <c r="N477" s="12"/>
      <c r="O477" s="12"/>
      <c r="P477" s="12"/>
      <c r="Q477" s="12"/>
      <c r="R477" s="12"/>
      <c r="S477" s="12"/>
      <c r="T477" s="154">
        <f t="shared" si="45"/>
        <v>0.008</v>
      </c>
      <c r="U477" s="155"/>
      <c r="V477" s="243"/>
      <c r="W477" s="30"/>
      <c r="X477" s="30"/>
      <c r="Y477" s="30"/>
      <c r="Z477" s="30"/>
      <c r="AA477" s="30"/>
      <c r="AB477" s="30"/>
      <c r="AC477" s="31"/>
      <c r="AD477" s="31">
        <f aca="true" t="shared" si="47" ref="AD477:AD490">SUM(W477:AC477)</f>
        <v>0</v>
      </c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</row>
    <row r="478" spans="2:48" ht="12.75" hidden="1">
      <c r="B478" s="232" t="s">
        <v>358</v>
      </c>
      <c r="C478" s="235" t="s">
        <v>359</v>
      </c>
      <c r="D478" s="27"/>
      <c r="E478" s="281"/>
      <c r="F478" s="282"/>
      <c r="G478" s="9">
        <v>0.002</v>
      </c>
      <c r="H478" s="83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54"/>
      <c r="U478" s="155"/>
      <c r="V478" s="243"/>
      <c r="W478" s="30"/>
      <c r="X478" s="30"/>
      <c r="Y478" s="30"/>
      <c r="Z478" s="30"/>
      <c r="AA478" s="30"/>
      <c r="AB478" s="30"/>
      <c r="AC478" s="31"/>
      <c r="AD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</row>
    <row r="479" spans="2:48" ht="12.75" hidden="1">
      <c r="B479" s="232" t="s">
        <v>360</v>
      </c>
      <c r="C479" s="235" t="s">
        <v>361</v>
      </c>
      <c r="D479" s="27"/>
      <c r="E479" s="281"/>
      <c r="F479" s="282"/>
      <c r="G479" s="9">
        <v>0.002</v>
      </c>
      <c r="H479" s="83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54"/>
      <c r="U479" s="155"/>
      <c r="V479" s="243"/>
      <c r="W479" s="30"/>
      <c r="X479" s="30"/>
      <c r="Y479" s="30"/>
      <c r="Z479" s="30"/>
      <c r="AA479" s="30"/>
      <c r="AB479" s="30"/>
      <c r="AC479" s="31"/>
      <c r="AD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</row>
    <row r="480" spans="2:48" ht="12.75" hidden="1">
      <c r="B480" s="232" t="s">
        <v>1015</v>
      </c>
      <c r="C480" s="235" t="s">
        <v>1016</v>
      </c>
      <c r="D480" s="27">
        <v>0.009</v>
      </c>
      <c r="E480" s="281">
        <v>37895</v>
      </c>
      <c r="F480" s="282">
        <v>38412</v>
      </c>
      <c r="G480" s="9">
        <v>0.004</v>
      </c>
      <c r="H480" s="83">
        <v>0.001</v>
      </c>
      <c r="I480" s="12">
        <v>0.001</v>
      </c>
      <c r="J480" s="12">
        <v>0.001</v>
      </c>
      <c r="K480" s="12">
        <v>0.001</v>
      </c>
      <c r="L480" s="12"/>
      <c r="M480" s="12"/>
      <c r="N480" s="12"/>
      <c r="O480" s="12"/>
      <c r="P480" s="12"/>
      <c r="Q480" s="12"/>
      <c r="R480" s="12"/>
      <c r="S480" s="12">
        <v>0.005</v>
      </c>
      <c r="T480" s="154">
        <f t="shared" si="45"/>
        <v>0.004</v>
      </c>
      <c r="U480" s="155"/>
      <c r="V480" s="243"/>
      <c r="W480" s="30"/>
      <c r="X480" s="30"/>
      <c r="Y480" s="30"/>
      <c r="Z480" s="30"/>
      <c r="AA480" s="30"/>
      <c r="AB480" s="30"/>
      <c r="AC480" s="31"/>
      <c r="AD480" s="31">
        <f t="shared" si="47"/>
        <v>0</v>
      </c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</row>
    <row r="481" spans="2:48" ht="12.75" hidden="1">
      <c r="B481" s="232" t="s">
        <v>1017</v>
      </c>
      <c r="C481" s="235" t="s">
        <v>1018</v>
      </c>
      <c r="D481" s="27">
        <v>0.005</v>
      </c>
      <c r="E481" s="281">
        <v>38292</v>
      </c>
      <c r="F481" s="282">
        <v>38416</v>
      </c>
      <c r="G481" s="9">
        <v>0.005</v>
      </c>
      <c r="H481" s="83">
        <v>0.001</v>
      </c>
      <c r="I481" s="12">
        <v>0.001</v>
      </c>
      <c r="J481" s="12">
        <v>0.001</v>
      </c>
      <c r="K481" s="12">
        <v>0.001</v>
      </c>
      <c r="L481" s="12">
        <v>0.001</v>
      </c>
      <c r="M481" s="12"/>
      <c r="N481" s="12"/>
      <c r="O481" s="12"/>
      <c r="P481" s="12"/>
      <c r="Q481" s="12"/>
      <c r="R481" s="12"/>
      <c r="S481" s="12"/>
      <c r="T481" s="154">
        <f t="shared" si="45"/>
        <v>0.005</v>
      </c>
      <c r="U481" s="155"/>
      <c r="V481" s="243"/>
      <c r="W481" s="30"/>
      <c r="X481" s="30"/>
      <c r="Y481" s="30"/>
      <c r="Z481" s="30"/>
      <c r="AA481" s="30"/>
      <c r="AB481" s="30"/>
      <c r="AC481" s="31"/>
      <c r="AD481" s="31">
        <f t="shared" si="47"/>
        <v>0</v>
      </c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</row>
    <row r="482" spans="2:48" ht="12.75" hidden="1">
      <c r="B482" s="232" t="s">
        <v>1019</v>
      </c>
      <c r="C482" s="235" t="s">
        <v>1151</v>
      </c>
      <c r="D482" s="27">
        <v>0.025</v>
      </c>
      <c r="E482" s="281">
        <v>38357</v>
      </c>
      <c r="F482" s="282">
        <v>38412</v>
      </c>
      <c r="G482" s="9">
        <v>0.025</v>
      </c>
      <c r="H482" s="83">
        <v>0.004</v>
      </c>
      <c r="I482" s="12">
        <v>0.004</v>
      </c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54">
        <f t="shared" si="45"/>
        <v>0.008</v>
      </c>
      <c r="U482" s="155"/>
      <c r="V482" s="243"/>
      <c r="W482" s="30"/>
      <c r="X482" s="30"/>
      <c r="Y482" s="30"/>
      <c r="Z482" s="30"/>
      <c r="AA482" s="30"/>
      <c r="AB482" s="30"/>
      <c r="AC482" s="31"/>
      <c r="AD482" s="31">
        <f t="shared" si="47"/>
        <v>0</v>
      </c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</row>
    <row r="483" spans="2:48" ht="12.75" hidden="1">
      <c r="B483" s="232" t="s">
        <v>1020</v>
      </c>
      <c r="C483" s="235" t="s">
        <v>1152</v>
      </c>
      <c r="D483" s="27">
        <v>0.01</v>
      </c>
      <c r="E483" s="281">
        <v>38353</v>
      </c>
      <c r="F483" s="282">
        <v>111460</v>
      </c>
      <c r="G483" s="9">
        <v>0.01</v>
      </c>
      <c r="H483" s="83">
        <v>0.005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54">
        <f t="shared" si="45"/>
        <v>0.005</v>
      </c>
      <c r="U483" s="155"/>
      <c r="V483" s="243"/>
      <c r="W483" s="30"/>
      <c r="X483" s="30"/>
      <c r="Y483" s="30"/>
      <c r="Z483" s="30"/>
      <c r="AA483" s="30"/>
      <c r="AB483" s="30"/>
      <c r="AC483" s="31"/>
      <c r="AD483" s="31">
        <f t="shared" si="47"/>
        <v>0</v>
      </c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</row>
    <row r="484" spans="2:48" ht="12.75" hidden="1">
      <c r="B484" s="232" t="s">
        <v>1021</v>
      </c>
      <c r="C484" s="235" t="s">
        <v>1153</v>
      </c>
      <c r="D484" s="27">
        <v>0.59</v>
      </c>
      <c r="E484" s="281">
        <v>38416</v>
      </c>
      <c r="F484" s="282">
        <v>38508</v>
      </c>
      <c r="G484" s="9">
        <v>0.004</v>
      </c>
      <c r="H484" s="83"/>
      <c r="I484" s="12"/>
      <c r="J484" s="12"/>
      <c r="K484" s="12">
        <v>0.003</v>
      </c>
      <c r="L484" s="12">
        <v>0.079</v>
      </c>
      <c r="M484" s="12">
        <v>0.079</v>
      </c>
      <c r="N484" s="12">
        <v>0.079</v>
      </c>
      <c r="O484" s="12">
        <v>0.079</v>
      </c>
      <c r="P484" s="12">
        <v>0.079</v>
      </c>
      <c r="Q484" s="12">
        <v>0.079</v>
      </c>
      <c r="R484" s="12">
        <v>0.079</v>
      </c>
      <c r="S484" s="12">
        <v>0.032</v>
      </c>
      <c r="T484" s="154">
        <f aca="true" t="shared" si="48" ref="T484:T492">SUM(H484:L484)</f>
        <v>0.082</v>
      </c>
      <c r="U484" s="155"/>
      <c r="V484" s="243">
        <v>38565</v>
      </c>
      <c r="W484" s="30"/>
      <c r="X484" s="30"/>
      <c r="Y484" s="30"/>
      <c r="Z484" s="30"/>
      <c r="AA484" s="30"/>
      <c r="AB484" s="30"/>
      <c r="AC484" s="31"/>
      <c r="AD484" s="31">
        <f t="shared" si="47"/>
        <v>0</v>
      </c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</row>
    <row r="485" spans="2:48" ht="12.75" hidden="1">
      <c r="B485" s="232" t="s">
        <v>362</v>
      </c>
      <c r="C485" s="235" t="s">
        <v>363</v>
      </c>
      <c r="D485" s="27"/>
      <c r="E485" s="281"/>
      <c r="F485" s="282"/>
      <c r="G485" s="9">
        <v>0.004</v>
      </c>
      <c r="H485" s="83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54"/>
      <c r="U485" s="155"/>
      <c r="V485" s="243"/>
      <c r="W485" s="30"/>
      <c r="X485" s="30"/>
      <c r="Y485" s="30"/>
      <c r="Z485" s="30"/>
      <c r="AA485" s="30"/>
      <c r="AB485" s="30"/>
      <c r="AC485" s="31"/>
      <c r="AD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</row>
    <row r="486" spans="2:48" ht="12.75" hidden="1">
      <c r="B486" s="232" t="s">
        <v>364</v>
      </c>
      <c r="C486" s="235" t="s">
        <v>365</v>
      </c>
      <c r="D486" s="27"/>
      <c r="E486" s="281"/>
      <c r="F486" s="282"/>
      <c r="G486" s="9">
        <v>0.003</v>
      </c>
      <c r="H486" s="83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54"/>
      <c r="U486" s="155"/>
      <c r="V486" s="243"/>
      <c r="W486" s="30"/>
      <c r="X486" s="30"/>
      <c r="Y486" s="30"/>
      <c r="Z486" s="30"/>
      <c r="AA486" s="30"/>
      <c r="AB486" s="30"/>
      <c r="AC486" s="31"/>
      <c r="AD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</row>
    <row r="487" spans="2:48" ht="12.75" hidden="1">
      <c r="B487" s="232" t="s">
        <v>1022</v>
      </c>
      <c r="C487" s="235" t="s">
        <v>1023</v>
      </c>
      <c r="D487" s="27">
        <v>0.06</v>
      </c>
      <c r="E487" s="281" t="s">
        <v>987</v>
      </c>
      <c r="F487" s="282" t="s">
        <v>987</v>
      </c>
      <c r="G487" s="9">
        <v>0</v>
      </c>
      <c r="H487" s="83" t="s">
        <v>1147</v>
      </c>
      <c r="I487" s="12" t="s">
        <v>1147</v>
      </c>
      <c r="J487" s="12" t="s">
        <v>1147</v>
      </c>
      <c r="K487" s="12" t="s">
        <v>1147</v>
      </c>
      <c r="L487" s="12" t="s">
        <v>1147</v>
      </c>
      <c r="M487" s="12" t="s">
        <v>1147</v>
      </c>
      <c r="N487" s="12" t="s">
        <v>1147</v>
      </c>
      <c r="O487" s="12" t="s">
        <v>1147</v>
      </c>
      <c r="P487" s="12" t="s">
        <v>1147</v>
      </c>
      <c r="Q487" s="12" t="s">
        <v>1147</v>
      </c>
      <c r="R487" s="12" t="s">
        <v>1147</v>
      </c>
      <c r="S487" s="12">
        <v>0.06</v>
      </c>
      <c r="T487" s="154">
        <f t="shared" si="48"/>
        <v>0</v>
      </c>
      <c r="U487" s="155"/>
      <c r="V487" s="243"/>
      <c r="W487" s="30"/>
      <c r="X487" s="30"/>
      <c r="Y487" s="30"/>
      <c r="Z487" s="30"/>
      <c r="AA487" s="30"/>
      <c r="AB487" s="30"/>
      <c r="AC487" s="31"/>
      <c r="AD487" s="31">
        <f t="shared" si="47"/>
        <v>0</v>
      </c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</row>
    <row r="488" spans="2:48" ht="12.75" hidden="1">
      <c r="B488" s="232" t="s">
        <v>1024</v>
      </c>
      <c r="C488" s="235" t="s">
        <v>1154</v>
      </c>
      <c r="D488" s="27">
        <v>0.275</v>
      </c>
      <c r="E488" s="281">
        <v>38626</v>
      </c>
      <c r="F488" s="282">
        <v>38718</v>
      </c>
      <c r="G488" s="9">
        <v>0.011</v>
      </c>
      <c r="H488" s="83" t="s">
        <v>1147</v>
      </c>
      <c r="I488" s="12" t="s">
        <v>1147</v>
      </c>
      <c r="J488" s="12" t="s">
        <v>1147</v>
      </c>
      <c r="K488" s="12" t="s">
        <v>1147</v>
      </c>
      <c r="L488" s="12" t="s">
        <v>1147</v>
      </c>
      <c r="M488" s="12" t="s">
        <v>1147</v>
      </c>
      <c r="N488" s="12" t="s">
        <v>1147</v>
      </c>
      <c r="O488" s="12"/>
      <c r="P488" s="12">
        <v>0.08</v>
      </c>
      <c r="Q488" s="12">
        <v>0.08</v>
      </c>
      <c r="R488" s="12">
        <v>0.08</v>
      </c>
      <c r="S488" s="12"/>
      <c r="T488" s="154">
        <f t="shared" si="48"/>
        <v>0</v>
      </c>
      <c r="U488" s="155"/>
      <c r="V488" s="243"/>
      <c r="W488" s="30"/>
      <c r="X488" s="30"/>
      <c r="Y488" s="30"/>
      <c r="Z488" s="30"/>
      <c r="AA488" s="30"/>
      <c r="AB488" s="30"/>
      <c r="AC488" s="31"/>
      <c r="AD488" s="31">
        <f t="shared" si="47"/>
        <v>0</v>
      </c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</row>
    <row r="489" spans="2:48" ht="12.75" hidden="1">
      <c r="B489" s="232" t="s">
        <v>1025</v>
      </c>
      <c r="C489" s="235" t="s">
        <v>1026</v>
      </c>
      <c r="D489" s="27">
        <v>0.005</v>
      </c>
      <c r="E489" s="281">
        <v>39022</v>
      </c>
      <c r="F489" s="282">
        <v>39114</v>
      </c>
      <c r="G489" s="9">
        <v>0.001</v>
      </c>
      <c r="H489" s="83" t="s">
        <v>1147</v>
      </c>
      <c r="I489" s="12" t="s">
        <v>1147</v>
      </c>
      <c r="J489" s="12" t="s">
        <v>1147</v>
      </c>
      <c r="K489" s="12" t="s">
        <v>1147</v>
      </c>
      <c r="L489" s="12" t="s">
        <v>1147</v>
      </c>
      <c r="M489" s="12" t="s">
        <v>1147</v>
      </c>
      <c r="N489" s="12" t="s">
        <v>1147</v>
      </c>
      <c r="O489" s="12" t="s">
        <v>1147</v>
      </c>
      <c r="P489" s="12" t="s">
        <v>1147</v>
      </c>
      <c r="Q489" s="12" t="s">
        <v>1147</v>
      </c>
      <c r="R489" s="12" t="s">
        <v>1147</v>
      </c>
      <c r="S489" s="12">
        <v>0.005</v>
      </c>
      <c r="T489" s="154">
        <f t="shared" si="48"/>
        <v>0</v>
      </c>
      <c r="U489" s="155"/>
      <c r="V489" s="243"/>
      <c r="W489" s="30"/>
      <c r="X489" s="30"/>
      <c r="Y489" s="30"/>
      <c r="Z489" s="30"/>
      <c r="AA489" s="30"/>
      <c r="AB489" s="30"/>
      <c r="AC489" s="31"/>
      <c r="AD489" s="31">
        <f t="shared" si="47"/>
        <v>0</v>
      </c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</row>
    <row r="490" spans="2:48" ht="12.75" hidden="1">
      <c r="B490" s="232" t="s">
        <v>1027</v>
      </c>
      <c r="C490" s="235" t="s">
        <v>1155</v>
      </c>
      <c r="D490" s="27">
        <v>0.47</v>
      </c>
      <c r="E490" s="281">
        <v>38687</v>
      </c>
      <c r="F490" s="282">
        <v>38777</v>
      </c>
      <c r="G490" s="9">
        <v>0.005</v>
      </c>
      <c r="H490" s="83" t="s">
        <v>1147</v>
      </c>
      <c r="I490" s="12" t="s">
        <v>1147</v>
      </c>
      <c r="J490" s="12" t="s">
        <v>1147</v>
      </c>
      <c r="K490" s="12" t="s">
        <v>1147</v>
      </c>
      <c r="L490" s="12" t="s">
        <v>1147</v>
      </c>
      <c r="M490" s="12" t="s">
        <v>1147</v>
      </c>
      <c r="N490" s="12" t="s">
        <v>1147</v>
      </c>
      <c r="O490" s="12" t="s">
        <v>1147</v>
      </c>
      <c r="P490" s="12" t="s">
        <v>1147</v>
      </c>
      <c r="Q490" s="12">
        <v>0.157</v>
      </c>
      <c r="R490" s="12">
        <v>0.157</v>
      </c>
      <c r="S490" s="12">
        <v>0.157</v>
      </c>
      <c r="T490" s="154">
        <f t="shared" si="48"/>
        <v>0</v>
      </c>
      <c r="U490" s="155"/>
      <c r="V490" s="243"/>
      <c r="W490" s="30"/>
      <c r="X490" s="30"/>
      <c r="Y490" s="30"/>
      <c r="Z490" s="30"/>
      <c r="AA490" s="30"/>
      <c r="AB490" s="30"/>
      <c r="AC490" s="31"/>
      <c r="AD490" s="31">
        <f t="shared" si="47"/>
        <v>0</v>
      </c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</row>
    <row r="491" spans="2:48" ht="12.75" hidden="1">
      <c r="B491" s="232" t="s">
        <v>1028</v>
      </c>
      <c r="C491" s="235" t="s">
        <v>1156</v>
      </c>
      <c r="D491" s="27">
        <v>0.34</v>
      </c>
      <c r="E491" s="281">
        <v>38657</v>
      </c>
      <c r="F491" s="282">
        <v>38749</v>
      </c>
      <c r="G491" s="9">
        <v>0.002</v>
      </c>
      <c r="H491" s="83" t="s">
        <v>1147</v>
      </c>
      <c r="I491" s="12" t="s">
        <v>1147</v>
      </c>
      <c r="J491" s="12" t="s">
        <v>1147</v>
      </c>
      <c r="K491" s="12" t="s">
        <v>1147</v>
      </c>
      <c r="L491" s="12" t="s">
        <v>1147</v>
      </c>
      <c r="M491" s="12" t="s">
        <v>1147</v>
      </c>
      <c r="N491" s="12" t="s">
        <v>1147</v>
      </c>
      <c r="O491" s="12" t="s">
        <v>1147</v>
      </c>
      <c r="P491" s="12"/>
      <c r="Q491" s="12">
        <v>0.033</v>
      </c>
      <c r="R491" s="12">
        <v>0.033</v>
      </c>
      <c r="S491" s="12">
        <v>0.033</v>
      </c>
      <c r="T491" s="154">
        <f t="shared" si="48"/>
        <v>0</v>
      </c>
      <c r="U491" s="155"/>
      <c r="V491" s="243"/>
      <c r="W491" s="30"/>
      <c r="X491" s="30"/>
      <c r="Y491" s="30"/>
      <c r="Z491" s="30"/>
      <c r="AA491" s="30"/>
      <c r="AB491" s="30"/>
      <c r="AC491" s="31"/>
      <c r="AD491" s="31">
        <f>SUM(W491:AC491)</f>
        <v>0</v>
      </c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</row>
    <row r="492" spans="2:48" ht="12.75" hidden="1">
      <c r="B492" s="232" t="s">
        <v>184</v>
      </c>
      <c r="C492" s="235" t="s">
        <v>185</v>
      </c>
      <c r="D492" s="27">
        <v>0.242</v>
      </c>
      <c r="E492" s="281">
        <v>38565</v>
      </c>
      <c r="F492" s="282">
        <v>38596</v>
      </c>
      <c r="G492" s="9">
        <v>0.009</v>
      </c>
      <c r="H492" s="83"/>
      <c r="I492" s="12"/>
      <c r="J492" s="12"/>
      <c r="K492" s="12"/>
      <c r="L492" s="12"/>
      <c r="M492" s="12">
        <v>0.1</v>
      </c>
      <c r="N492" s="12">
        <v>0.1</v>
      </c>
      <c r="O492" s="12"/>
      <c r="P492" s="12"/>
      <c r="Q492" s="12"/>
      <c r="R492" s="12"/>
      <c r="S492" s="12"/>
      <c r="T492" s="154">
        <f t="shared" si="48"/>
        <v>0</v>
      </c>
      <c r="U492" s="155"/>
      <c r="V492" s="243"/>
      <c r="W492" s="30"/>
      <c r="X492" s="30"/>
      <c r="Y492" s="30"/>
      <c r="Z492" s="30"/>
      <c r="AA492" s="30"/>
      <c r="AB492" s="30"/>
      <c r="AC492" s="31"/>
      <c r="AD492" s="31">
        <f aca="true" t="shared" si="49" ref="AD492:AD509">SUM(W492:AC492)</f>
        <v>0</v>
      </c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</row>
    <row r="493" spans="2:48" ht="12.75" hidden="1">
      <c r="B493" s="232" t="s">
        <v>1248</v>
      </c>
      <c r="C493" s="235" t="s">
        <v>1249</v>
      </c>
      <c r="D493" s="27">
        <v>0.1</v>
      </c>
      <c r="E493" s="281">
        <v>38596</v>
      </c>
      <c r="F493" s="282">
        <v>38777</v>
      </c>
      <c r="G493" s="9"/>
      <c r="H493" s="83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54"/>
      <c r="U493" s="155"/>
      <c r="V493" s="243"/>
      <c r="W493" s="30"/>
      <c r="X493" s="30"/>
      <c r="Y493" s="30"/>
      <c r="Z493" s="30"/>
      <c r="AA493" s="30"/>
      <c r="AB493" s="30"/>
      <c r="AC493" s="31"/>
      <c r="AD493" s="31">
        <f t="shared" si="49"/>
        <v>0</v>
      </c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</row>
    <row r="494" spans="2:48" ht="12.75">
      <c r="B494" s="181" t="s">
        <v>858</v>
      </c>
      <c r="C494" s="94" t="s">
        <v>810</v>
      </c>
      <c r="D494" s="9">
        <f>SUM(D470:D493)</f>
        <v>2.22</v>
      </c>
      <c r="E494" s="283">
        <v>38078</v>
      </c>
      <c r="F494" s="284">
        <v>38412</v>
      </c>
      <c r="G494" s="335">
        <f>SUM(G470:G493)</f>
        <v>0.127</v>
      </c>
      <c r="H494" s="150">
        <f aca="true" t="shared" si="50" ref="H494:S494">SUM(H470:H493)</f>
        <v>0.013000000000000001</v>
      </c>
      <c r="I494" s="151">
        <f t="shared" si="50"/>
        <v>0.008</v>
      </c>
      <c r="J494" s="151">
        <f t="shared" si="50"/>
        <v>0.006</v>
      </c>
      <c r="K494" s="151">
        <f t="shared" si="50"/>
        <v>0.009000000000000001</v>
      </c>
      <c r="L494" s="151">
        <f t="shared" si="50"/>
        <v>0.082</v>
      </c>
      <c r="M494" s="151">
        <f t="shared" si="50"/>
        <v>0.181</v>
      </c>
      <c r="N494" s="151">
        <f t="shared" si="50"/>
        <v>0.181</v>
      </c>
      <c r="O494" s="151">
        <f t="shared" si="50"/>
        <v>0.081</v>
      </c>
      <c r="P494" s="151">
        <f t="shared" si="50"/>
        <v>0.161</v>
      </c>
      <c r="Q494" s="151">
        <f t="shared" si="50"/>
        <v>0.351</v>
      </c>
      <c r="R494" s="151">
        <f t="shared" si="50"/>
        <v>0.381</v>
      </c>
      <c r="S494" s="151">
        <f t="shared" si="50"/>
        <v>0.32400000000000007</v>
      </c>
      <c r="T494" s="154">
        <f>SUM(H494:L494)</f>
        <v>0.11800000000000001</v>
      </c>
      <c r="U494" s="155"/>
      <c r="V494" s="243"/>
      <c r="W494" s="149"/>
      <c r="X494" s="149"/>
      <c r="Y494" s="149"/>
      <c r="Z494" s="149"/>
      <c r="AA494" s="149"/>
      <c r="AB494" s="149"/>
      <c r="AC494" s="149"/>
      <c r="AD494" s="31">
        <f t="shared" si="49"/>
        <v>0</v>
      </c>
      <c r="AF494" s="149"/>
      <c r="AG494" s="149"/>
      <c r="AH494" s="149"/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49"/>
      <c r="AV494" s="149"/>
    </row>
    <row r="495" spans="2:48" ht="14.25" customHeight="1" hidden="1">
      <c r="B495" s="232" t="s">
        <v>1082</v>
      </c>
      <c r="C495" s="233" t="s">
        <v>1083</v>
      </c>
      <c r="D495" s="27">
        <v>0.021</v>
      </c>
      <c r="E495" s="281">
        <v>37926</v>
      </c>
      <c r="F495" s="282">
        <v>38357</v>
      </c>
      <c r="G495" s="9">
        <v>0.02</v>
      </c>
      <c r="H495" s="83"/>
      <c r="I495" s="12"/>
      <c r="J495" s="12"/>
      <c r="K495" s="12"/>
      <c r="L495" s="12"/>
      <c r="M495" s="12"/>
      <c r="N495" s="12"/>
      <c r="O495" s="12"/>
      <c r="P495" s="12"/>
      <c r="Q495" s="12">
        <v>0.01</v>
      </c>
      <c r="R495" s="12">
        <v>0.011</v>
      </c>
      <c r="S495" s="12"/>
      <c r="T495" s="154">
        <f>SUM(H495:L495)</f>
        <v>0</v>
      </c>
      <c r="U495" s="155"/>
      <c r="V495" s="243"/>
      <c r="W495" s="30"/>
      <c r="X495" s="30"/>
      <c r="Y495" s="30"/>
      <c r="Z495" s="30"/>
      <c r="AA495" s="30"/>
      <c r="AB495" s="30"/>
      <c r="AC495" s="31"/>
      <c r="AD495" s="31">
        <f t="shared" si="49"/>
        <v>0</v>
      </c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</row>
    <row r="496" spans="2:48" ht="14.25" customHeight="1" hidden="1">
      <c r="B496" s="232" t="s">
        <v>186</v>
      </c>
      <c r="C496" s="233" t="s">
        <v>187</v>
      </c>
      <c r="D496" s="27">
        <v>0.06</v>
      </c>
      <c r="E496" s="281">
        <v>38718</v>
      </c>
      <c r="F496" s="282">
        <v>39173</v>
      </c>
      <c r="G496" s="9"/>
      <c r="H496" s="83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>
        <v>0.06</v>
      </c>
      <c r="T496" s="154"/>
      <c r="U496" s="155"/>
      <c r="V496" s="243"/>
      <c r="W496" s="30"/>
      <c r="X496" s="30"/>
      <c r="Y496" s="30"/>
      <c r="Z496" s="30"/>
      <c r="AA496" s="30"/>
      <c r="AB496" s="30"/>
      <c r="AC496" s="31"/>
      <c r="AD496" s="31">
        <f t="shared" si="49"/>
        <v>0</v>
      </c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</row>
    <row r="497" spans="2:48" ht="13.5" customHeight="1" hidden="1">
      <c r="B497" s="232" t="s">
        <v>1084</v>
      </c>
      <c r="C497" s="233" t="s">
        <v>1085</v>
      </c>
      <c r="D497" s="27">
        <v>0.008</v>
      </c>
      <c r="E497" s="281" t="s">
        <v>987</v>
      </c>
      <c r="F497" s="282" t="s">
        <v>987</v>
      </c>
      <c r="G497" s="9">
        <v>0.008</v>
      </c>
      <c r="H497" s="83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54">
        <f>SUM(H497:L497)</f>
        <v>0</v>
      </c>
      <c r="U497" s="155"/>
      <c r="V497" s="243"/>
      <c r="W497" s="30"/>
      <c r="X497" s="30"/>
      <c r="Y497" s="30"/>
      <c r="Z497" s="30"/>
      <c r="AA497" s="30"/>
      <c r="AB497" s="30"/>
      <c r="AC497" s="31"/>
      <c r="AD497" s="31">
        <f t="shared" si="49"/>
        <v>0</v>
      </c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</row>
    <row r="498" spans="2:48" ht="13.5" customHeight="1">
      <c r="B498" s="181" t="s">
        <v>858</v>
      </c>
      <c r="C498" s="94" t="s">
        <v>820</v>
      </c>
      <c r="D498" s="9">
        <f>SUM(D495:D497)</f>
        <v>0.089</v>
      </c>
      <c r="E498" s="279"/>
      <c r="F498" s="280"/>
      <c r="G498" s="335">
        <f aca="true" t="shared" si="51" ref="G498:S498">SUM(G495:G497)</f>
        <v>0.028</v>
      </c>
      <c r="H498" s="150">
        <f t="shared" si="51"/>
        <v>0</v>
      </c>
      <c r="I498" s="151">
        <f t="shared" si="51"/>
        <v>0</v>
      </c>
      <c r="J498" s="151">
        <f t="shared" si="51"/>
        <v>0</v>
      </c>
      <c r="K498" s="151">
        <f t="shared" si="51"/>
        <v>0</v>
      </c>
      <c r="L498" s="151">
        <f t="shared" si="51"/>
        <v>0</v>
      </c>
      <c r="M498" s="151">
        <f t="shared" si="51"/>
        <v>0</v>
      </c>
      <c r="N498" s="151">
        <f t="shared" si="51"/>
        <v>0</v>
      </c>
      <c r="O498" s="151">
        <f t="shared" si="51"/>
        <v>0</v>
      </c>
      <c r="P498" s="151">
        <f t="shared" si="51"/>
        <v>0</v>
      </c>
      <c r="Q498" s="151">
        <f t="shared" si="51"/>
        <v>0.01</v>
      </c>
      <c r="R498" s="151">
        <f t="shared" si="51"/>
        <v>0.011</v>
      </c>
      <c r="S498" s="151">
        <f t="shared" si="51"/>
        <v>0.06</v>
      </c>
      <c r="T498" s="154"/>
      <c r="U498" s="155"/>
      <c r="V498" s="243"/>
      <c r="W498" s="149"/>
      <c r="X498" s="149"/>
      <c r="Y498" s="149"/>
      <c r="Z498" s="149"/>
      <c r="AA498" s="149"/>
      <c r="AB498" s="149"/>
      <c r="AC498" s="149"/>
      <c r="AD498" s="31">
        <f t="shared" si="49"/>
        <v>0</v>
      </c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49"/>
      <c r="AV498" s="149"/>
    </row>
    <row r="499" spans="2:48" ht="12" customHeight="1" hidden="1">
      <c r="B499" s="232" t="s">
        <v>1086</v>
      </c>
      <c r="C499" s="233" t="s">
        <v>1087</v>
      </c>
      <c r="D499" s="27">
        <v>0.28</v>
      </c>
      <c r="E499" s="281">
        <v>38416</v>
      </c>
      <c r="F499" s="282">
        <v>38477</v>
      </c>
      <c r="G499" s="9">
        <v>0.27</v>
      </c>
      <c r="H499" s="83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>
        <v>0.28</v>
      </c>
      <c r="T499" s="154">
        <f aca="true" t="shared" si="52" ref="T499:T528">SUM(H499:L499)</f>
        <v>0</v>
      </c>
      <c r="U499" s="155"/>
      <c r="V499" s="243"/>
      <c r="W499" s="30"/>
      <c r="X499" s="30"/>
      <c r="Y499" s="30"/>
      <c r="Z499" s="30"/>
      <c r="AA499" s="30"/>
      <c r="AB499" s="30"/>
      <c r="AC499" s="31"/>
      <c r="AD499" s="31">
        <f t="shared" si="49"/>
        <v>0</v>
      </c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V499" s="31"/>
    </row>
    <row r="500" spans="2:48" ht="12" customHeight="1" hidden="1">
      <c r="B500" s="232" t="s">
        <v>1088</v>
      </c>
      <c r="C500" s="233" t="s">
        <v>1089</v>
      </c>
      <c r="D500" s="27">
        <v>0.01</v>
      </c>
      <c r="E500" s="281">
        <v>38231</v>
      </c>
      <c r="F500" s="282">
        <v>38412</v>
      </c>
      <c r="G500" s="9">
        <v>0.001</v>
      </c>
      <c r="H500" s="83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>
        <v>0.02</v>
      </c>
      <c r="T500" s="154">
        <f t="shared" si="52"/>
        <v>0</v>
      </c>
      <c r="U500" s="155"/>
      <c r="V500" s="243"/>
      <c r="W500" s="30"/>
      <c r="X500" s="30"/>
      <c r="Y500" s="30"/>
      <c r="Z500" s="30"/>
      <c r="AA500" s="30"/>
      <c r="AB500" s="30"/>
      <c r="AC500" s="31"/>
      <c r="AD500" s="31">
        <f t="shared" si="49"/>
        <v>0</v>
      </c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V500" s="31"/>
    </row>
    <row r="501" spans="2:48" ht="12" customHeight="1" hidden="1">
      <c r="B501" s="232" t="s">
        <v>1090</v>
      </c>
      <c r="C501" s="233" t="s">
        <v>1091</v>
      </c>
      <c r="D501" s="27">
        <v>0.072</v>
      </c>
      <c r="E501" s="281">
        <v>38534</v>
      </c>
      <c r="F501" s="282">
        <v>38596</v>
      </c>
      <c r="G501" s="9">
        <v>0.019</v>
      </c>
      <c r="H501" s="83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>
        <v>0.2</v>
      </c>
      <c r="T501" s="154">
        <f t="shared" si="52"/>
        <v>0</v>
      </c>
      <c r="U501" s="155"/>
      <c r="V501" s="243"/>
      <c r="W501" s="30"/>
      <c r="X501" s="30"/>
      <c r="Y501" s="30"/>
      <c r="Z501" s="30"/>
      <c r="AA501" s="30"/>
      <c r="AB501" s="30"/>
      <c r="AC501" s="31"/>
      <c r="AD501" s="31">
        <f t="shared" si="49"/>
        <v>0</v>
      </c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V501" s="31"/>
    </row>
    <row r="502" spans="2:48" ht="12" customHeight="1" hidden="1">
      <c r="B502" s="232" t="s">
        <v>1092</v>
      </c>
      <c r="C502" s="233" t="s">
        <v>1093</v>
      </c>
      <c r="D502" s="27">
        <v>0.025</v>
      </c>
      <c r="E502" s="281">
        <v>38388</v>
      </c>
      <c r="F502" s="282">
        <v>38412</v>
      </c>
      <c r="G502" s="9"/>
      <c r="H502" s="83">
        <v>0.025</v>
      </c>
      <c r="I502" s="12">
        <v>0.025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54">
        <f t="shared" si="52"/>
        <v>0.05</v>
      </c>
      <c r="U502" s="155"/>
      <c r="V502" s="243"/>
      <c r="W502" s="30"/>
      <c r="X502" s="30"/>
      <c r="Y502" s="30"/>
      <c r="Z502" s="30"/>
      <c r="AA502" s="30"/>
      <c r="AB502" s="30"/>
      <c r="AC502" s="31"/>
      <c r="AD502" s="31">
        <f t="shared" si="49"/>
        <v>0</v>
      </c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V502" s="31"/>
    </row>
    <row r="503" spans="1:49" ht="12" customHeight="1" hidden="1">
      <c r="A503" s="27" t="s">
        <v>1157</v>
      </c>
      <c r="B503" s="232" t="s">
        <v>1094</v>
      </c>
      <c r="C503" s="186" t="s">
        <v>1095</v>
      </c>
      <c r="D503" s="27">
        <v>0.06</v>
      </c>
      <c r="E503" s="281">
        <v>38416</v>
      </c>
      <c r="F503" s="282">
        <v>38477</v>
      </c>
      <c r="G503" s="9"/>
      <c r="H503" s="83">
        <v>0.015</v>
      </c>
      <c r="I503" s="12">
        <v>0.02</v>
      </c>
      <c r="J503" s="12">
        <v>0.02</v>
      </c>
      <c r="K503" s="12">
        <v>0.013</v>
      </c>
      <c r="L503" s="12"/>
      <c r="M503" s="12"/>
      <c r="N503" s="12"/>
      <c r="O503" s="12"/>
      <c r="P503" s="12"/>
      <c r="Q503" s="12"/>
      <c r="R503" s="12"/>
      <c r="S503" s="12"/>
      <c r="T503" s="154">
        <f t="shared" si="52"/>
        <v>0.068</v>
      </c>
      <c r="U503" s="155"/>
      <c r="V503" s="243">
        <v>38460</v>
      </c>
      <c r="W503" s="30"/>
      <c r="X503" s="30"/>
      <c r="Y503" s="30"/>
      <c r="Z503" s="30"/>
      <c r="AA503" s="30"/>
      <c r="AB503" s="30"/>
      <c r="AC503" s="31">
        <v>0.04</v>
      </c>
      <c r="AD503" s="31">
        <f t="shared" si="49"/>
        <v>0.04</v>
      </c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V503" s="31"/>
      <c r="AW503" s="27" t="s">
        <v>888</v>
      </c>
    </row>
    <row r="504" spans="2:48" ht="12" customHeight="1" hidden="1">
      <c r="B504" s="232" t="s">
        <v>1096</v>
      </c>
      <c r="C504" s="233" t="s">
        <v>1097</v>
      </c>
      <c r="D504" s="27">
        <v>0.075</v>
      </c>
      <c r="E504" s="281" t="s">
        <v>987</v>
      </c>
      <c r="F504" s="282" t="s">
        <v>987</v>
      </c>
      <c r="G504" s="9"/>
      <c r="H504" s="83">
        <v>0.006</v>
      </c>
      <c r="I504" s="12">
        <v>0.006</v>
      </c>
      <c r="J504" s="12">
        <v>0.006</v>
      </c>
      <c r="K504" s="12">
        <v>0.006</v>
      </c>
      <c r="L504" s="12">
        <v>0.006</v>
      </c>
      <c r="M504" s="12">
        <v>0.006</v>
      </c>
      <c r="N504" s="12">
        <v>0.006</v>
      </c>
      <c r="O504" s="12">
        <v>0.006</v>
      </c>
      <c r="P504" s="12">
        <v>0.006</v>
      </c>
      <c r="Q504" s="12">
        <v>0.006</v>
      </c>
      <c r="R504" s="12">
        <v>0.006</v>
      </c>
      <c r="S504" s="12">
        <v>0.006</v>
      </c>
      <c r="T504" s="154">
        <f t="shared" si="52"/>
        <v>0.03</v>
      </c>
      <c r="U504" s="155"/>
      <c r="V504" s="243"/>
      <c r="W504" s="30"/>
      <c r="X504" s="30"/>
      <c r="Y504" s="30"/>
      <c r="Z504" s="30"/>
      <c r="AA504" s="30"/>
      <c r="AB504" s="30"/>
      <c r="AC504" s="31"/>
      <c r="AD504" s="31">
        <f t="shared" si="49"/>
        <v>0</v>
      </c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V504" s="31"/>
    </row>
    <row r="505" spans="2:48" ht="12" customHeight="1" hidden="1">
      <c r="B505" s="232" t="s">
        <v>1098</v>
      </c>
      <c r="C505" s="233" t="s">
        <v>1102</v>
      </c>
      <c r="D505" s="27">
        <v>0.015</v>
      </c>
      <c r="E505" s="281" t="s">
        <v>987</v>
      </c>
      <c r="F505" s="282" t="s">
        <v>987</v>
      </c>
      <c r="G505" s="9"/>
      <c r="H505" s="83">
        <v>0.001</v>
      </c>
      <c r="I505" s="12">
        <v>0.001</v>
      </c>
      <c r="J505" s="12">
        <v>0.001</v>
      </c>
      <c r="K505" s="12">
        <v>0.001</v>
      </c>
      <c r="L505" s="12">
        <v>0.001</v>
      </c>
      <c r="M505" s="12">
        <v>0.001</v>
      </c>
      <c r="N505" s="12">
        <v>0.001</v>
      </c>
      <c r="O505" s="12">
        <v>0.001</v>
      </c>
      <c r="P505" s="12">
        <v>0.001</v>
      </c>
      <c r="Q505" s="12">
        <v>0.001</v>
      </c>
      <c r="R505" s="12">
        <v>0.001</v>
      </c>
      <c r="S505" s="12">
        <v>0.001</v>
      </c>
      <c r="T505" s="154">
        <f t="shared" si="52"/>
        <v>0.005</v>
      </c>
      <c r="U505" s="155"/>
      <c r="V505" s="243"/>
      <c r="W505" s="30"/>
      <c r="X505" s="30"/>
      <c r="Y505" s="30"/>
      <c r="Z505" s="30"/>
      <c r="AA505" s="30"/>
      <c r="AB505" s="30"/>
      <c r="AC505" s="31"/>
      <c r="AD505" s="31">
        <f t="shared" si="49"/>
        <v>0</v>
      </c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V505" s="31"/>
    </row>
    <row r="506" spans="2:48" ht="12" customHeight="1" hidden="1">
      <c r="B506" s="232" t="s">
        <v>1103</v>
      </c>
      <c r="C506" s="234" t="s">
        <v>1104</v>
      </c>
      <c r="D506" s="27">
        <v>0.01</v>
      </c>
      <c r="E506" s="281">
        <v>38626</v>
      </c>
      <c r="F506" s="282">
        <v>38657</v>
      </c>
      <c r="G506" s="9">
        <v>0.002</v>
      </c>
      <c r="H506" s="83"/>
      <c r="I506" s="12"/>
      <c r="J506" s="12"/>
      <c r="K506" s="12"/>
      <c r="L506" s="12"/>
      <c r="M506" s="12"/>
      <c r="N506" s="12"/>
      <c r="O506" s="12"/>
      <c r="P506" s="12">
        <v>0.01</v>
      </c>
      <c r="Q506" s="12"/>
      <c r="R506" s="12"/>
      <c r="S506" s="12"/>
      <c r="T506" s="154">
        <f t="shared" si="52"/>
        <v>0</v>
      </c>
      <c r="U506" s="155"/>
      <c r="V506" s="243"/>
      <c r="W506" s="30"/>
      <c r="X506" s="30"/>
      <c r="Y506" s="30"/>
      <c r="Z506" s="30"/>
      <c r="AA506" s="30"/>
      <c r="AB506" s="30"/>
      <c r="AC506" s="31"/>
      <c r="AD506" s="31">
        <f t="shared" si="49"/>
        <v>0</v>
      </c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V506" s="31"/>
    </row>
    <row r="507" spans="2:48" ht="12.75">
      <c r="B507" s="184" t="s">
        <v>858</v>
      </c>
      <c r="C507" s="94" t="s">
        <v>821</v>
      </c>
      <c r="D507" s="9">
        <f>SUM(D499:D506)</f>
        <v>0.547</v>
      </c>
      <c r="E507" s="283">
        <v>38078</v>
      </c>
      <c r="F507" s="284">
        <v>38412</v>
      </c>
      <c r="G507" s="335">
        <f>SUM(G499:G506)</f>
        <v>0.29200000000000004</v>
      </c>
      <c r="H507" s="150">
        <f>SUM(H499:H506)</f>
        <v>0.047</v>
      </c>
      <c r="I507" s="151">
        <f aca="true" t="shared" si="53" ref="I507:S507">SUM(I499:I506)</f>
        <v>0.052</v>
      </c>
      <c r="J507" s="151">
        <f t="shared" si="53"/>
        <v>0.027000000000000003</v>
      </c>
      <c r="K507" s="151">
        <f t="shared" si="53"/>
        <v>0.02</v>
      </c>
      <c r="L507" s="151">
        <f t="shared" si="53"/>
        <v>0.007</v>
      </c>
      <c r="M507" s="151">
        <f t="shared" si="53"/>
        <v>0.007</v>
      </c>
      <c r="N507" s="151">
        <f t="shared" si="53"/>
        <v>0.007</v>
      </c>
      <c r="O507" s="151">
        <f t="shared" si="53"/>
        <v>0.007</v>
      </c>
      <c r="P507" s="151">
        <f t="shared" si="53"/>
        <v>0.017</v>
      </c>
      <c r="Q507" s="151">
        <f t="shared" si="53"/>
        <v>0.007</v>
      </c>
      <c r="R507" s="151">
        <f t="shared" si="53"/>
        <v>0.007</v>
      </c>
      <c r="S507" s="151">
        <f t="shared" si="53"/>
        <v>0.507</v>
      </c>
      <c r="T507" s="154">
        <f t="shared" si="52"/>
        <v>0.153</v>
      </c>
      <c r="U507" s="155"/>
      <c r="V507" s="243"/>
      <c r="W507" s="149"/>
      <c r="X507" s="149"/>
      <c r="Y507" s="149"/>
      <c r="Z507" s="149"/>
      <c r="AA507" s="149"/>
      <c r="AB507" s="149"/>
      <c r="AC507" s="149"/>
      <c r="AD507" s="31">
        <f t="shared" si="49"/>
        <v>0</v>
      </c>
      <c r="AF507" s="149"/>
      <c r="AG507" s="149"/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</row>
    <row r="508" spans="2:48" ht="12" customHeight="1" hidden="1">
      <c r="B508" s="232" t="s">
        <v>1105</v>
      </c>
      <c r="C508" s="233" t="s">
        <v>1106</v>
      </c>
      <c r="D508" s="27">
        <v>0.04</v>
      </c>
      <c r="E508" s="281">
        <v>36251</v>
      </c>
      <c r="F508" s="282">
        <v>38412</v>
      </c>
      <c r="G508" s="9">
        <v>0.004</v>
      </c>
      <c r="H508" s="83"/>
      <c r="I508" s="12"/>
      <c r="J508" s="12">
        <v>0.004</v>
      </c>
      <c r="K508" s="12">
        <v>0.004</v>
      </c>
      <c r="L508" s="12">
        <v>0.004</v>
      </c>
      <c r="M508" s="12">
        <v>0.004</v>
      </c>
      <c r="N508" s="12">
        <v>0.004</v>
      </c>
      <c r="O508" s="12">
        <v>0.004</v>
      </c>
      <c r="P508" s="12">
        <v>0.004</v>
      </c>
      <c r="Q508" s="12">
        <v>0.004</v>
      </c>
      <c r="R508" s="12">
        <v>0.004</v>
      </c>
      <c r="S508" s="12">
        <v>0.004</v>
      </c>
      <c r="T508" s="154">
        <f t="shared" si="52"/>
        <v>0.012</v>
      </c>
      <c r="U508" s="155"/>
      <c r="V508" s="243"/>
      <c r="W508" s="30"/>
      <c r="X508" s="30"/>
      <c r="Y508" s="30"/>
      <c r="Z508" s="30"/>
      <c r="AA508" s="30"/>
      <c r="AB508" s="30"/>
      <c r="AC508" s="31"/>
      <c r="AD508" s="31">
        <f t="shared" si="49"/>
        <v>0</v>
      </c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</row>
    <row r="509" spans="2:48" ht="12" customHeight="1" hidden="1">
      <c r="B509" s="232" t="s">
        <v>1107</v>
      </c>
      <c r="C509" s="233" t="s">
        <v>1108</v>
      </c>
      <c r="D509" s="27">
        <v>0.01</v>
      </c>
      <c r="E509" s="281">
        <v>38353</v>
      </c>
      <c r="F509" s="282">
        <v>38412</v>
      </c>
      <c r="G509" s="9"/>
      <c r="H509" s="83"/>
      <c r="I509" s="12"/>
      <c r="J509" s="12"/>
      <c r="K509" s="12"/>
      <c r="L509" s="12"/>
      <c r="M509" s="12"/>
      <c r="N509" s="12"/>
      <c r="O509" s="12"/>
      <c r="P509" s="12"/>
      <c r="Q509" s="12"/>
      <c r="R509" s="12">
        <v>0.013</v>
      </c>
      <c r="S509" s="12">
        <v>0.013</v>
      </c>
      <c r="T509" s="154">
        <f t="shared" si="52"/>
        <v>0</v>
      </c>
      <c r="U509" s="155"/>
      <c r="V509" s="243"/>
      <c r="W509" s="30"/>
      <c r="X509" s="30"/>
      <c r="Y509" s="30"/>
      <c r="Z509" s="30"/>
      <c r="AA509" s="30"/>
      <c r="AB509" s="30"/>
      <c r="AC509" s="31"/>
      <c r="AD509" s="31">
        <f t="shared" si="49"/>
        <v>0</v>
      </c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</row>
    <row r="510" spans="2:48" ht="12" customHeight="1" hidden="1">
      <c r="B510" s="232" t="s">
        <v>1109</v>
      </c>
      <c r="C510" s="233" t="s">
        <v>1110</v>
      </c>
      <c r="D510" s="27">
        <v>0.001</v>
      </c>
      <c r="E510" s="281">
        <v>35886</v>
      </c>
      <c r="F510" s="282">
        <v>38412</v>
      </c>
      <c r="G510" s="9">
        <v>0.001</v>
      </c>
      <c r="H510" s="83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54">
        <f t="shared" si="52"/>
        <v>0</v>
      </c>
      <c r="U510" s="155"/>
      <c r="V510" s="243"/>
      <c r="W510" s="30"/>
      <c r="X510" s="30"/>
      <c r="Y510" s="30"/>
      <c r="Z510" s="30"/>
      <c r="AA510" s="30"/>
      <c r="AB510" s="30"/>
      <c r="AC510" s="31"/>
      <c r="AD510" s="31">
        <f>SUM(W510:AC510)</f>
        <v>0</v>
      </c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</row>
    <row r="511" spans="2:48" ht="12" customHeight="1" hidden="1">
      <c r="B511" s="232" t="s">
        <v>1111</v>
      </c>
      <c r="C511" s="233" t="s">
        <v>1112</v>
      </c>
      <c r="D511" s="27">
        <v>0.005</v>
      </c>
      <c r="E511" s="281">
        <v>36617</v>
      </c>
      <c r="F511" s="282">
        <v>38412</v>
      </c>
      <c r="G511" s="9"/>
      <c r="H511" s="83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0.005</v>
      </c>
      <c r="T511" s="154">
        <f t="shared" si="52"/>
        <v>0</v>
      </c>
      <c r="U511" s="155"/>
      <c r="V511" s="243"/>
      <c r="W511" s="30"/>
      <c r="X511" s="30"/>
      <c r="Y511" s="30"/>
      <c r="Z511" s="30"/>
      <c r="AA511" s="30"/>
      <c r="AB511" s="30"/>
      <c r="AC511" s="31"/>
      <c r="AD511" s="31">
        <f aca="true" t="shared" si="54" ref="AD511:AD539">SUM(W511:AC511)</f>
        <v>0</v>
      </c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</row>
    <row r="512" spans="2:48" ht="12" customHeight="1" hidden="1">
      <c r="B512" s="232" t="s">
        <v>1113</v>
      </c>
      <c r="C512" s="233" t="s">
        <v>1114</v>
      </c>
      <c r="D512" s="27">
        <v>0.15</v>
      </c>
      <c r="E512" s="281">
        <v>37712</v>
      </c>
      <c r="F512" s="282">
        <v>38412</v>
      </c>
      <c r="G512" s="9">
        <v>0.055</v>
      </c>
      <c r="H512" s="83"/>
      <c r="I512" s="12"/>
      <c r="J512" s="12">
        <v>0.014</v>
      </c>
      <c r="K512" s="12">
        <v>0.014</v>
      </c>
      <c r="L512" s="12">
        <v>0.014</v>
      </c>
      <c r="M512" s="12">
        <v>0.014</v>
      </c>
      <c r="N512" s="12">
        <v>0.014</v>
      </c>
      <c r="O512" s="12">
        <v>0.014</v>
      </c>
      <c r="P512" s="12">
        <v>0.014</v>
      </c>
      <c r="Q512" s="12">
        <v>0.014</v>
      </c>
      <c r="R512" s="12">
        <v>0.014</v>
      </c>
      <c r="S512" s="12">
        <v>0.024</v>
      </c>
      <c r="T512" s="154">
        <f t="shared" si="52"/>
        <v>0.042</v>
      </c>
      <c r="U512" s="155"/>
      <c r="V512" s="243"/>
      <c r="W512" s="30"/>
      <c r="X512" s="30"/>
      <c r="Y512" s="30"/>
      <c r="Z512" s="30"/>
      <c r="AA512" s="30"/>
      <c r="AB512" s="30"/>
      <c r="AC512" s="31"/>
      <c r="AD512" s="31">
        <f t="shared" si="54"/>
        <v>0</v>
      </c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</row>
    <row r="513" spans="2:48" ht="12" customHeight="1" hidden="1">
      <c r="B513" s="232" t="s">
        <v>1115</v>
      </c>
      <c r="C513" s="233" t="s">
        <v>1116</v>
      </c>
      <c r="D513" s="27">
        <v>0</v>
      </c>
      <c r="E513" s="281">
        <v>38200</v>
      </c>
      <c r="F513" s="282">
        <v>38261</v>
      </c>
      <c r="G513" s="9">
        <v>-0.008</v>
      </c>
      <c r="H513" s="83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54">
        <f t="shared" si="52"/>
        <v>0</v>
      </c>
      <c r="U513" s="155"/>
      <c r="V513" s="243"/>
      <c r="W513" s="30"/>
      <c r="X513" s="30"/>
      <c r="Y513" s="30"/>
      <c r="Z513" s="30"/>
      <c r="AA513" s="30"/>
      <c r="AB513" s="30"/>
      <c r="AC513" s="31"/>
      <c r="AD513" s="31">
        <f t="shared" si="54"/>
        <v>0</v>
      </c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</row>
    <row r="514" spans="2:48" ht="12" customHeight="1" hidden="1">
      <c r="B514" s="232" t="s">
        <v>366</v>
      </c>
      <c r="C514" s="233" t="s">
        <v>367</v>
      </c>
      <c r="D514" s="27"/>
      <c r="E514" s="281"/>
      <c r="F514" s="282"/>
      <c r="G514" s="9">
        <v>0.029</v>
      </c>
      <c r="H514" s="83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54"/>
      <c r="U514" s="155"/>
      <c r="V514" s="243"/>
      <c r="W514" s="30"/>
      <c r="X514" s="30"/>
      <c r="Y514" s="30"/>
      <c r="Z514" s="30"/>
      <c r="AA514" s="30"/>
      <c r="AB514" s="30"/>
      <c r="AC514" s="31"/>
      <c r="AD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</row>
    <row r="515" spans="2:48" ht="12" customHeight="1" hidden="1">
      <c r="B515" s="232" t="s">
        <v>1117</v>
      </c>
      <c r="C515" s="233" t="s">
        <v>1118</v>
      </c>
      <c r="D515" s="27">
        <v>0.05</v>
      </c>
      <c r="E515" s="281">
        <v>37926</v>
      </c>
      <c r="F515" s="282">
        <v>38169</v>
      </c>
      <c r="G515" s="9">
        <v>0.001</v>
      </c>
      <c r="H515" s="83"/>
      <c r="I515" s="12"/>
      <c r="J515" s="12"/>
      <c r="K515" s="12"/>
      <c r="L515" s="12">
        <v>0.006</v>
      </c>
      <c r="M515" s="12">
        <v>0.006</v>
      </c>
      <c r="N515" s="12">
        <v>0.006</v>
      </c>
      <c r="O515" s="12">
        <v>0.006</v>
      </c>
      <c r="P515" s="12">
        <v>0.006</v>
      </c>
      <c r="Q515" s="12">
        <v>0.006</v>
      </c>
      <c r="R515" s="12">
        <v>0.006</v>
      </c>
      <c r="S515" s="12">
        <v>0.008</v>
      </c>
      <c r="T515" s="154">
        <f t="shared" si="52"/>
        <v>0.006</v>
      </c>
      <c r="U515" s="155"/>
      <c r="V515" s="243"/>
      <c r="W515" s="30"/>
      <c r="X515" s="30"/>
      <c r="Y515" s="30"/>
      <c r="Z515" s="30"/>
      <c r="AA515" s="30"/>
      <c r="AB515" s="30"/>
      <c r="AC515" s="31"/>
      <c r="AD515" s="31">
        <f t="shared" si="54"/>
        <v>0</v>
      </c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</row>
    <row r="516" spans="2:48" ht="12" customHeight="1" hidden="1">
      <c r="B516" s="232" t="s">
        <v>1119</v>
      </c>
      <c r="C516" s="233" t="s">
        <v>1120</v>
      </c>
      <c r="D516" s="27">
        <v>0</v>
      </c>
      <c r="E516" s="281">
        <v>37834</v>
      </c>
      <c r="F516" s="282">
        <v>38412</v>
      </c>
      <c r="G516" s="9"/>
      <c r="H516" s="83"/>
      <c r="I516" s="12"/>
      <c r="J516" s="12"/>
      <c r="K516" s="12"/>
      <c r="L516" s="12">
        <v>0.002</v>
      </c>
      <c r="M516" s="12">
        <v>0.002</v>
      </c>
      <c r="N516" s="12">
        <v>0.002</v>
      </c>
      <c r="O516" s="12">
        <v>0.002</v>
      </c>
      <c r="P516" s="12">
        <v>0.002</v>
      </c>
      <c r="Q516" s="12">
        <v>0.002</v>
      </c>
      <c r="R516" s="12">
        <v>0.002</v>
      </c>
      <c r="S516" s="12">
        <v>0.002</v>
      </c>
      <c r="T516" s="154">
        <f t="shared" si="52"/>
        <v>0.002</v>
      </c>
      <c r="U516" s="155"/>
      <c r="V516" s="243"/>
      <c r="W516" s="30"/>
      <c r="X516" s="30"/>
      <c r="Y516" s="30"/>
      <c r="Z516" s="30"/>
      <c r="AA516" s="30"/>
      <c r="AB516" s="30"/>
      <c r="AC516" s="31"/>
      <c r="AD516" s="31">
        <f t="shared" si="54"/>
        <v>0</v>
      </c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</row>
    <row r="517" spans="2:48" ht="12" customHeight="1" hidden="1">
      <c r="B517" s="232" t="s">
        <v>1121</v>
      </c>
      <c r="C517" s="233" t="s">
        <v>1122</v>
      </c>
      <c r="D517" s="27">
        <v>0.01</v>
      </c>
      <c r="E517" s="281">
        <v>37773</v>
      </c>
      <c r="F517" s="282">
        <v>38412</v>
      </c>
      <c r="G517" s="9"/>
      <c r="H517" s="83">
        <v>0.001</v>
      </c>
      <c r="I517" s="12">
        <v>0.001</v>
      </c>
      <c r="J517" s="12">
        <v>0.001</v>
      </c>
      <c r="K517" s="12">
        <v>0.001</v>
      </c>
      <c r="L517" s="12">
        <v>0.001</v>
      </c>
      <c r="M517" s="12">
        <v>0.001</v>
      </c>
      <c r="N517" s="12">
        <v>0.001</v>
      </c>
      <c r="O517" s="12">
        <v>0.001</v>
      </c>
      <c r="P517" s="12">
        <v>0.001</v>
      </c>
      <c r="Q517" s="12">
        <v>0.001</v>
      </c>
      <c r="R517" s="12">
        <v>0.001</v>
      </c>
      <c r="S517" s="12">
        <v>0.001</v>
      </c>
      <c r="T517" s="154">
        <f t="shared" si="52"/>
        <v>0.005</v>
      </c>
      <c r="U517" s="155"/>
      <c r="V517" s="243"/>
      <c r="W517" s="30"/>
      <c r="X517" s="30"/>
      <c r="Y517" s="30"/>
      <c r="Z517" s="30"/>
      <c r="AA517" s="30"/>
      <c r="AB517" s="30"/>
      <c r="AC517" s="31"/>
      <c r="AD517" s="31">
        <f t="shared" si="54"/>
        <v>0</v>
      </c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</row>
    <row r="518" spans="2:48" ht="12" customHeight="1" hidden="1">
      <c r="B518" s="232" t="s">
        <v>1123</v>
      </c>
      <c r="C518" s="233" t="s">
        <v>1124</v>
      </c>
      <c r="D518" s="27">
        <v>0.03</v>
      </c>
      <c r="E518" s="281">
        <v>38353</v>
      </c>
      <c r="F518" s="282">
        <v>38777</v>
      </c>
      <c r="G518" s="9"/>
      <c r="H518" s="83"/>
      <c r="I518" s="12"/>
      <c r="J518" s="12"/>
      <c r="K518" s="12"/>
      <c r="L518" s="12"/>
      <c r="M518" s="12"/>
      <c r="N518" s="12"/>
      <c r="O518" s="12"/>
      <c r="P518" s="12"/>
      <c r="Q518" s="12"/>
      <c r="R518" s="12">
        <v>0.015</v>
      </c>
      <c r="S518" s="12">
        <v>0.015</v>
      </c>
      <c r="T518" s="154">
        <f t="shared" si="52"/>
        <v>0</v>
      </c>
      <c r="U518" s="155"/>
      <c r="V518" s="243"/>
      <c r="W518" s="30"/>
      <c r="X518" s="30"/>
      <c r="Y518" s="30"/>
      <c r="Z518" s="30"/>
      <c r="AA518" s="30"/>
      <c r="AB518" s="30"/>
      <c r="AC518" s="31"/>
      <c r="AD518" s="31">
        <f t="shared" si="54"/>
        <v>0</v>
      </c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</row>
    <row r="519" spans="2:48" ht="12" customHeight="1" hidden="1">
      <c r="B519" s="232" t="s">
        <v>1125</v>
      </c>
      <c r="C519" s="233" t="s">
        <v>1126</v>
      </c>
      <c r="D519" s="27">
        <v>0.007</v>
      </c>
      <c r="E519" s="281">
        <v>38322</v>
      </c>
      <c r="F519" s="282">
        <v>38412</v>
      </c>
      <c r="G519" s="9">
        <v>0.008</v>
      </c>
      <c r="H519" s="83"/>
      <c r="I519" s="12"/>
      <c r="J519" s="12"/>
      <c r="K519" s="12"/>
      <c r="L519" s="12"/>
      <c r="M519" s="12"/>
      <c r="N519" s="12"/>
      <c r="O519" s="12"/>
      <c r="P519" s="12"/>
      <c r="Q519" s="12">
        <v>0.083</v>
      </c>
      <c r="R519" s="12">
        <v>0.083</v>
      </c>
      <c r="S519" s="12">
        <v>0.083</v>
      </c>
      <c r="T519" s="154">
        <f t="shared" si="52"/>
        <v>0</v>
      </c>
      <c r="U519" s="155"/>
      <c r="V519" s="243"/>
      <c r="W519" s="30"/>
      <c r="X519" s="30"/>
      <c r="Y519" s="30"/>
      <c r="Z519" s="30"/>
      <c r="AA519" s="30"/>
      <c r="AB519" s="30"/>
      <c r="AC519" s="31"/>
      <c r="AD519" s="31">
        <f t="shared" si="54"/>
        <v>0</v>
      </c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</row>
    <row r="520" spans="2:48" ht="12" customHeight="1" hidden="1">
      <c r="B520" s="232" t="s">
        <v>1127</v>
      </c>
      <c r="C520" s="233" t="s">
        <v>1128</v>
      </c>
      <c r="D520" s="27">
        <v>0.029</v>
      </c>
      <c r="E520" s="281">
        <v>38357</v>
      </c>
      <c r="F520" s="282">
        <v>38416</v>
      </c>
      <c r="G520" s="9"/>
      <c r="H520" s="83"/>
      <c r="I520" s="12"/>
      <c r="J520" s="12"/>
      <c r="K520" s="12"/>
      <c r="L520" s="12"/>
      <c r="M520" s="12"/>
      <c r="N520" s="12"/>
      <c r="O520" s="12"/>
      <c r="P520" s="12"/>
      <c r="Q520" s="12"/>
      <c r="R520" s="12">
        <v>0.008</v>
      </c>
      <c r="S520" s="12">
        <v>0.008</v>
      </c>
      <c r="T520" s="154">
        <f t="shared" si="52"/>
        <v>0</v>
      </c>
      <c r="U520" s="155"/>
      <c r="V520" s="243"/>
      <c r="W520" s="30"/>
      <c r="X520" s="30"/>
      <c r="Y520" s="30"/>
      <c r="Z520" s="30"/>
      <c r="AA520" s="30"/>
      <c r="AB520" s="30"/>
      <c r="AC520" s="31"/>
      <c r="AD520" s="31">
        <f t="shared" si="54"/>
        <v>0</v>
      </c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</row>
    <row r="521" spans="2:48" ht="12.75" hidden="1">
      <c r="B521" s="232" t="s">
        <v>1129</v>
      </c>
      <c r="C521" s="233" t="s">
        <v>1130</v>
      </c>
      <c r="D521" s="27">
        <v>0.01</v>
      </c>
      <c r="E521" s="281">
        <v>38661</v>
      </c>
      <c r="F521" s="282">
        <v>38843</v>
      </c>
      <c r="G521" s="9"/>
      <c r="H521" s="83" t="s">
        <v>1147</v>
      </c>
      <c r="I521" s="12" t="s">
        <v>1147</v>
      </c>
      <c r="J521" s="12" t="s">
        <v>1147</v>
      </c>
      <c r="K521" s="12" t="s">
        <v>1147</v>
      </c>
      <c r="L521" s="12" t="s">
        <v>1147</v>
      </c>
      <c r="M521" s="12" t="s">
        <v>1147</v>
      </c>
      <c r="N521" s="12" t="s">
        <v>1147</v>
      </c>
      <c r="O521" s="12" t="s">
        <v>1147</v>
      </c>
      <c r="P521" s="12">
        <v>0.002</v>
      </c>
      <c r="Q521" s="12">
        <v>0.002</v>
      </c>
      <c r="R521" s="12">
        <v>0.002</v>
      </c>
      <c r="S521" s="12">
        <v>0.002</v>
      </c>
      <c r="T521" s="154">
        <f t="shared" si="52"/>
        <v>0</v>
      </c>
      <c r="U521" s="155"/>
      <c r="V521" s="243"/>
      <c r="W521" s="30"/>
      <c r="X521" s="30"/>
      <c r="Y521" s="30"/>
      <c r="Z521" s="30"/>
      <c r="AA521" s="30"/>
      <c r="AB521" s="30"/>
      <c r="AC521" s="31"/>
      <c r="AD521" s="31">
        <f t="shared" si="54"/>
        <v>0</v>
      </c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</row>
    <row r="522" spans="2:48" ht="12.75" hidden="1">
      <c r="B522" s="232" t="s">
        <v>1131</v>
      </c>
      <c r="C522" s="233" t="s">
        <v>1132</v>
      </c>
      <c r="D522" s="27">
        <v>0.001</v>
      </c>
      <c r="E522" s="281">
        <v>38264</v>
      </c>
      <c r="F522" s="282">
        <v>38325</v>
      </c>
      <c r="G522" s="9">
        <v>0.001</v>
      </c>
      <c r="H522" s="83"/>
      <c r="I522" s="12"/>
      <c r="J522" s="12"/>
      <c r="K522" s="12"/>
      <c r="L522" s="12"/>
      <c r="M522" s="12"/>
      <c r="N522" s="12"/>
      <c r="O522" s="12"/>
      <c r="P522" s="12"/>
      <c r="Q522" s="12">
        <v>0.001</v>
      </c>
      <c r="R522" s="12"/>
      <c r="S522" s="12"/>
      <c r="T522" s="154">
        <f t="shared" si="52"/>
        <v>0</v>
      </c>
      <c r="U522" s="155"/>
      <c r="V522" s="243"/>
      <c r="W522" s="30"/>
      <c r="X522" s="30"/>
      <c r="Y522" s="30"/>
      <c r="Z522" s="30"/>
      <c r="AA522" s="30"/>
      <c r="AB522" s="30"/>
      <c r="AC522" s="31"/>
      <c r="AD522" s="31">
        <f t="shared" si="54"/>
        <v>0</v>
      </c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</row>
    <row r="523" spans="2:48" ht="12.75" hidden="1">
      <c r="B523" s="232" t="s">
        <v>1133</v>
      </c>
      <c r="C523" s="233" t="s">
        <v>1134</v>
      </c>
      <c r="D523" s="27">
        <v>0.04</v>
      </c>
      <c r="E523" s="281">
        <v>38388</v>
      </c>
      <c r="F523" s="282">
        <v>38447</v>
      </c>
      <c r="G523" s="9">
        <v>0.038</v>
      </c>
      <c r="H523" s="83"/>
      <c r="I523" s="12"/>
      <c r="J523" s="12"/>
      <c r="K523" s="12"/>
      <c r="L523" s="12"/>
      <c r="M523" s="12"/>
      <c r="N523" s="12"/>
      <c r="O523" s="12"/>
      <c r="P523" s="12"/>
      <c r="Q523" s="12"/>
      <c r="R523" s="12">
        <v>0.02</v>
      </c>
      <c r="S523" s="12">
        <v>0.02</v>
      </c>
      <c r="T523" s="154">
        <f t="shared" si="52"/>
        <v>0</v>
      </c>
      <c r="U523" s="155"/>
      <c r="V523" s="243"/>
      <c r="W523" s="30"/>
      <c r="X523" s="30"/>
      <c r="Y523" s="30"/>
      <c r="Z523" s="30"/>
      <c r="AA523" s="30"/>
      <c r="AB523" s="30"/>
      <c r="AC523" s="31"/>
      <c r="AD523" s="31">
        <f t="shared" si="54"/>
        <v>0</v>
      </c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</row>
    <row r="524" spans="2:48" ht="12.75" hidden="1">
      <c r="B524" s="232" t="s">
        <v>1135</v>
      </c>
      <c r="C524" s="233" t="s">
        <v>1136</v>
      </c>
      <c r="D524" s="27">
        <v>0.04</v>
      </c>
      <c r="E524" s="281">
        <v>38388</v>
      </c>
      <c r="F524" s="282">
        <v>38416</v>
      </c>
      <c r="G524" s="9">
        <v>0.003</v>
      </c>
      <c r="H524" s="83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>
        <v>0.025</v>
      </c>
      <c r="T524" s="154">
        <f t="shared" si="52"/>
        <v>0</v>
      </c>
      <c r="U524" s="155"/>
      <c r="V524" s="243"/>
      <c r="W524" s="30"/>
      <c r="X524" s="30"/>
      <c r="Y524" s="30"/>
      <c r="Z524" s="30"/>
      <c r="AA524" s="30"/>
      <c r="AB524" s="30"/>
      <c r="AC524" s="31"/>
      <c r="AD524" s="31">
        <f t="shared" si="54"/>
        <v>0</v>
      </c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</row>
    <row r="525" spans="2:48" ht="12.75" hidden="1">
      <c r="B525" s="232" t="s">
        <v>1137</v>
      </c>
      <c r="C525" s="233" t="s">
        <v>1138</v>
      </c>
      <c r="D525" s="27">
        <v>0</v>
      </c>
      <c r="E525" s="281">
        <v>38357</v>
      </c>
      <c r="F525" s="282">
        <v>38416</v>
      </c>
      <c r="G525" s="9"/>
      <c r="H525" s="83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54">
        <f t="shared" si="52"/>
        <v>0</v>
      </c>
      <c r="U525" s="155"/>
      <c r="V525" s="243"/>
      <c r="W525" s="30"/>
      <c r="X525" s="30"/>
      <c r="Y525" s="30"/>
      <c r="Z525" s="30"/>
      <c r="AA525" s="30"/>
      <c r="AB525" s="30"/>
      <c r="AC525" s="31"/>
      <c r="AD525" s="31">
        <f t="shared" si="54"/>
        <v>0</v>
      </c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</row>
    <row r="526" spans="2:48" ht="12.75" hidden="1">
      <c r="B526" s="232" t="s">
        <v>1139</v>
      </c>
      <c r="C526" s="233" t="s">
        <v>1140</v>
      </c>
      <c r="D526" s="27">
        <v>0.1</v>
      </c>
      <c r="E526" s="281">
        <v>38534</v>
      </c>
      <c r="F526" s="282">
        <v>38777</v>
      </c>
      <c r="G526" s="9">
        <v>0.001</v>
      </c>
      <c r="H526" s="83" t="s">
        <v>1147</v>
      </c>
      <c r="I526" s="12" t="s">
        <v>1147</v>
      </c>
      <c r="J526" s="12" t="s">
        <v>1147</v>
      </c>
      <c r="K526" s="12" t="s">
        <v>1147</v>
      </c>
      <c r="L526" s="12">
        <v>0.009</v>
      </c>
      <c r="M526" s="12">
        <v>0.013</v>
      </c>
      <c r="N526" s="12">
        <v>0.013</v>
      </c>
      <c r="O526" s="12">
        <v>0.013</v>
      </c>
      <c r="P526" s="12">
        <v>0.013</v>
      </c>
      <c r="Q526" s="12">
        <v>0.013</v>
      </c>
      <c r="R526" s="12">
        <v>0.013</v>
      </c>
      <c r="S526" s="12">
        <v>0.013</v>
      </c>
      <c r="T526" s="154">
        <f t="shared" si="52"/>
        <v>0.009</v>
      </c>
      <c r="U526" s="155"/>
      <c r="V526" s="243"/>
      <c r="W526" s="30"/>
      <c r="X526" s="30"/>
      <c r="Y526" s="30"/>
      <c r="Z526" s="30"/>
      <c r="AA526" s="30"/>
      <c r="AB526" s="30"/>
      <c r="AC526" s="31"/>
      <c r="AD526" s="31">
        <f t="shared" si="54"/>
        <v>0</v>
      </c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</row>
    <row r="527" spans="2:48" ht="12.75" hidden="1">
      <c r="B527" s="232" t="s">
        <v>1141</v>
      </c>
      <c r="C527" s="233" t="s">
        <v>1142</v>
      </c>
      <c r="D527" s="27">
        <v>0.05</v>
      </c>
      <c r="E527" s="281"/>
      <c r="F527" s="282"/>
      <c r="G527" s="9"/>
      <c r="H527" s="83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>
        <v>0.05</v>
      </c>
      <c r="T527" s="154">
        <f t="shared" si="52"/>
        <v>0</v>
      </c>
      <c r="U527" s="155"/>
      <c r="V527" s="243"/>
      <c r="W527" s="30"/>
      <c r="X527" s="30"/>
      <c r="Y527" s="30"/>
      <c r="Z527" s="30"/>
      <c r="AA527" s="30"/>
      <c r="AB527" s="30"/>
      <c r="AC527" s="31"/>
      <c r="AD527" s="31">
        <f t="shared" si="54"/>
        <v>0</v>
      </c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</row>
    <row r="528" spans="2:48" ht="12.75" hidden="1">
      <c r="B528" s="232" t="s">
        <v>1143</v>
      </c>
      <c r="C528" s="233" t="s">
        <v>1144</v>
      </c>
      <c r="D528" s="27"/>
      <c r="E528" s="281">
        <v>38718</v>
      </c>
      <c r="F528" s="282">
        <v>39052</v>
      </c>
      <c r="G528" s="9"/>
      <c r="H528" s="83" t="s">
        <v>1147</v>
      </c>
      <c r="I528" s="12" t="s">
        <v>1147</v>
      </c>
      <c r="J528" s="12" t="s">
        <v>1147</v>
      </c>
      <c r="K528" s="12" t="s">
        <v>1147</v>
      </c>
      <c r="L528" s="12" t="s">
        <v>1147</v>
      </c>
      <c r="M528" s="12" t="s">
        <v>1147</v>
      </c>
      <c r="N528" s="12" t="s">
        <v>1147</v>
      </c>
      <c r="O528" s="12" t="s">
        <v>1147</v>
      </c>
      <c r="P528" s="12" t="s">
        <v>1147</v>
      </c>
      <c r="Q528" s="12" t="s">
        <v>1147</v>
      </c>
      <c r="R528" s="12">
        <v>0.05</v>
      </c>
      <c r="S528" s="12">
        <v>0.05</v>
      </c>
      <c r="T528" s="154">
        <f t="shared" si="52"/>
        <v>0</v>
      </c>
      <c r="U528" s="155"/>
      <c r="V528" s="243"/>
      <c r="W528" s="30"/>
      <c r="X528" s="30"/>
      <c r="Y528" s="30"/>
      <c r="Z528" s="30"/>
      <c r="AA528" s="30"/>
      <c r="AB528" s="30"/>
      <c r="AC528" s="31"/>
      <c r="AD528" s="31">
        <f t="shared" si="54"/>
        <v>0</v>
      </c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</row>
    <row r="529" spans="2:48" ht="12.75" hidden="1">
      <c r="B529" s="232" t="s">
        <v>188</v>
      </c>
      <c r="C529" s="233" t="s">
        <v>190</v>
      </c>
      <c r="D529" s="27">
        <v>0.245</v>
      </c>
      <c r="E529" s="281"/>
      <c r="F529" s="282"/>
      <c r="G529" s="9"/>
      <c r="H529" s="83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54"/>
      <c r="U529" s="155"/>
      <c r="V529" s="243"/>
      <c r="W529" s="30"/>
      <c r="X529" s="30"/>
      <c r="Y529" s="30"/>
      <c r="Z529" s="30"/>
      <c r="AA529" s="30"/>
      <c r="AB529" s="30"/>
      <c r="AC529" s="31"/>
      <c r="AD529" s="31">
        <f t="shared" si="54"/>
        <v>0</v>
      </c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</row>
    <row r="530" spans="2:49" ht="12.75" hidden="1">
      <c r="B530" s="232" t="s">
        <v>189</v>
      </c>
      <c r="C530" s="233" t="s">
        <v>191</v>
      </c>
      <c r="D530" s="27">
        <f>0.025+0.03</f>
        <v>0.055</v>
      </c>
      <c r="E530" s="281"/>
      <c r="F530" s="282"/>
      <c r="G530" s="9"/>
      <c r="H530" s="83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54"/>
      <c r="U530" s="155"/>
      <c r="V530" s="243"/>
      <c r="W530" s="30"/>
      <c r="X530" s="30"/>
      <c r="Y530" s="30"/>
      <c r="Z530" s="30"/>
      <c r="AA530" s="30"/>
      <c r="AB530" s="30"/>
      <c r="AC530" s="31">
        <v>0.03</v>
      </c>
      <c r="AD530" s="31">
        <f t="shared" si="54"/>
        <v>0.03</v>
      </c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76" t="s">
        <v>597</v>
      </c>
    </row>
    <row r="531" spans="2:48" ht="12.75" hidden="1">
      <c r="B531" s="232" t="s">
        <v>1145</v>
      </c>
      <c r="C531" s="233" t="s">
        <v>1146</v>
      </c>
      <c r="D531" s="27">
        <v>0</v>
      </c>
      <c r="E531" s="281" t="s">
        <v>987</v>
      </c>
      <c r="F531" s="282" t="s">
        <v>987</v>
      </c>
      <c r="G531" s="9"/>
      <c r="H531" s="83" t="s">
        <v>1147</v>
      </c>
      <c r="I531" s="12" t="s">
        <v>1147</v>
      </c>
      <c r="J531" s="12" t="s">
        <v>1147</v>
      </c>
      <c r="K531" s="12" t="s">
        <v>1147</v>
      </c>
      <c r="L531" s="12" t="s">
        <v>1147</v>
      </c>
      <c r="M531" s="12" t="s">
        <v>1147</v>
      </c>
      <c r="N531" s="12" t="s">
        <v>1147</v>
      </c>
      <c r="O531" s="12" t="s">
        <v>1147</v>
      </c>
      <c r="P531" s="12" t="s">
        <v>1147</v>
      </c>
      <c r="Q531" s="12" t="s">
        <v>1147</v>
      </c>
      <c r="R531" s="12" t="s">
        <v>1147</v>
      </c>
      <c r="S531" s="12" t="s">
        <v>1147</v>
      </c>
      <c r="T531" s="154">
        <f>SUM(H531:L531)</f>
        <v>0</v>
      </c>
      <c r="U531" s="155"/>
      <c r="V531" s="243"/>
      <c r="W531" s="30"/>
      <c r="X531" s="30"/>
      <c r="Y531" s="30"/>
      <c r="Z531" s="30"/>
      <c r="AA531" s="30"/>
      <c r="AB531" s="30"/>
      <c r="AC531" s="31"/>
      <c r="AD531" s="31">
        <f t="shared" si="54"/>
        <v>0</v>
      </c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</row>
    <row r="532" spans="2:48" ht="12.75">
      <c r="B532" s="181" t="s">
        <v>858</v>
      </c>
      <c r="C532" s="94" t="s">
        <v>812</v>
      </c>
      <c r="D532" s="9">
        <f>SUM(D508:D531)</f>
        <v>0.8730000000000001</v>
      </c>
      <c r="E532" s="283">
        <v>38078</v>
      </c>
      <c r="F532" s="284">
        <v>38412</v>
      </c>
      <c r="G532" s="335">
        <f aca="true" t="shared" si="55" ref="G532:S532">SUM(G508:G531)</f>
        <v>0.133</v>
      </c>
      <c r="H532" s="150">
        <f t="shared" si="55"/>
        <v>0.001</v>
      </c>
      <c r="I532" s="151">
        <f t="shared" si="55"/>
        <v>0.001</v>
      </c>
      <c r="J532" s="151">
        <f t="shared" si="55"/>
        <v>0.019000000000000003</v>
      </c>
      <c r="K532" s="151">
        <f t="shared" si="55"/>
        <v>0.019000000000000003</v>
      </c>
      <c r="L532" s="151">
        <f t="shared" si="55"/>
        <v>0.036000000000000004</v>
      </c>
      <c r="M532" s="151">
        <f t="shared" si="55"/>
        <v>0.04</v>
      </c>
      <c r="N532" s="151">
        <f t="shared" si="55"/>
        <v>0.04</v>
      </c>
      <c r="O532" s="151">
        <f t="shared" si="55"/>
        <v>0.04</v>
      </c>
      <c r="P532" s="151">
        <f t="shared" si="55"/>
        <v>0.042</v>
      </c>
      <c r="Q532" s="151">
        <f t="shared" si="55"/>
        <v>0.12600000000000003</v>
      </c>
      <c r="R532" s="151">
        <f t="shared" si="55"/>
        <v>0.23100000000000004</v>
      </c>
      <c r="S532" s="151">
        <f t="shared" si="55"/>
        <v>0.323</v>
      </c>
      <c r="T532" s="154">
        <f>SUM(H532:L532)</f>
        <v>0.07600000000000001</v>
      </c>
      <c r="U532" s="155"/>
      <c r="V532" s="243"/>
      <c r="W532" s="149"/>
      <c r="X532" s="149"/>
      <c r="Y532" s="149"/>
      <c r="Z532" s="149"/>
      <c r="AA532" s="149"/>
      <c r="AB532" s="149"/>
      <c r="AC532" s="149"/>
      <c r="AD532" s="31">
        <f t="shared" si="54"/>
        <v>0</v>
      </c>
      <c r="AF532" s="149"/>
      <c r="AG532" s="149"/>
      <c r="AH532" s="149"/>
      <c r="AI532" s="149"/>
      <c r="AJ532" s="149"/>
      <c r="AK532" s="149"/>
      <c r="AL532" s="149"/>
      <c r="AM532" s="149"/>
      <c r="AN532" s="149"/>
      <c r="AO532" s="149"/>
      <c r="AP532" s="149"/>
      <c r="AQ532" s="149"/>
      <c r="AR532" s="149"/>
      <c r="AS532" s="149"/>
      <c r="AT532" s="149"/>
      <c r="AU532" s="149"/>
      <c r="AV532" s="149"/>
    </row>
    <row r="533" spans="2:48" ht="12.75">
      <c r="B533" s="181"/>
      <c r="C533" s="5"/>
      <c r="D533" s="9"/>
      <c r="E533" s="283"/>
      <c r="F533" s="284"/>
      <c r="G533" s="335"/>
      <c r="H533" s="150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4"/>
      <c r="U533" s="155"/>
      <c r="V533" s="243"/>
      <c r="W533" s="149"/>
      <c r="X533" s="149"/>
      <c r="Y533" s="149"/>
      <c r="Z533" s="149"/>
      <c r="AA533" s="149"/>
      <c r="AB533" s="149"/>
      <c r="AC533" s="149"/>
      <c r="AD533" s="31">
        <f t="shared" si="54"/>
        <v>0</v>
      </c>
      <c r="AF533" s="149"/>
      <c r="AG533" s="149"/>
      <c r="AH533" s="149"/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51"/>
      <c r="AV533" s="31"/>
    </row>
    <row r="534" spans="2:48" ht="12" customHeight="1">
      <c r="B534" s="239">
        <v>0.028</v>
      </c>
      <c r="C534" s="135" t="s">
        <v>1158</v>
      </c>
      <c r="D534" s="20">
        <f>-(1.304-0.028-0.04-0.001)</f>
        <v>-1.235</v>
      </c>
      <c r="E534" s="283"/>
      <c r="F534" s="284"/>
      <c r="G534" s="9"/>
      <c r="H534" s="83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54"/>
      <c r="U534" s="155"/>
      <c r="V534" s="243"/>
      <c r="W534" s="30"/>
      <c r="X534" s="30"/>
      <c r="Y534" s="30"/>
      <c r="Z534" s="30"/>
      <c r="AA534" s="30"/>
      <c r="AB534" s="30"/>
      <c r="AC534" s="31"/>
      <c r="AD534" s="31">
        <f t="shared" si="54"/>
        <v>0</v>
      </c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V534" s="31"/>
    </row>
    <row r="535" spans="2:48" ht="12" customHeight="1">
      <c r="B535" s="239">
        <v>0.019</v>
      </c>
      <c r="C535" s="135" t="s">
        <v>924</v>
      </c>
      <c r="D535" s="20">
        <v>0.019</v>
      </c>
      <c r="E535" s="283"/>
      <c r="F535" s="284"/>
      <c r="G535" s="9"/>
      <c r="H535" s="83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54"/>
      <c r="U535" s="155"/>
      <c r="V535" s="243"/>
      <c r="W535" s="30"/>
      <c r="X535" s="30"/>
      <c r="Y535" s="30"/>
      <c r="Z535" s="30"/>
      <c r="AA535" s="30"/>
      <c r="AB535" s="30"/>
      <c r="AC535" s="31"/>
      <c r="AD535" s="31">
        <f t="shared" si="54"/>
        <v>0</v>
      </c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V535" s="31"/>
    </row>
    <row r="536" spans="2:48" ht="13.5" customHeight="1">
      <c r="B536" s="169"/>
      <c r="C536" s="5" t="s">
        <v>1159</v>
      </c>
      <c r="D536" s="9">
        <f>-1.193+1.248</f>
        <v>0.05499999999999994</v>
      </c>
      <c r="E536" s="279"/>
      <c r="F536" s="280"/>
      <c r="G536" s="9"/>
      <c r="H536" s="81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4"/>
      <c r="U536" s="155"/>
      <c r="V536" s="243"/>
      <c r="W536" s="30"/>
      <c r="X536" s="30"/>
      <c r="Y536" s="30"/>
      <c r="Z536" s="30"/>
      <c r="AA536" s="30"/>
      <c r="AB536" s="149">
        <f>SUM(AB534:AB535)</f>
        <v>0</v>
      </c>
      <c r="AC536" s="31"/>
      <c r="AD536" s="31">
        <f t="shared" si="54"/>
        <v>0</v>
      </c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6"/>
      <c r="AV536" s="149">
        <f>SUM(AV534:AV535)</f>
        <v>0</v>
      </c>
    </row>
    <row r="537" spans="1:48" ht="12.75">
      <c r="A537" s="181" t="s">
        <v>858</v>
      </c>
      <c r="B537" s="169" t="s">
        <v>763</v>
      </c>
      <c r="C537" s="5"/>
      <c r="D537" s="9"/>
      <c r="E537" s="279"/>
      <c r="F537" s="280"/>
      <c r="G537" s="9"/>
      <c r="H537" s="83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54"/>
      <c r="U537" s="155"/>
      <c r="V537" s="243"/>
      <c r="W537" s="30"/>
      <c r="X537" s="30"/>
      <c r="Y537" s="30"/>
      <c r="Z537" s="30"/>
      <c r="AA537" s="30"/>
      <c r="AB537" s="149">
        <f>SUM(AB535:AB536)</f>
        <v>0</v>
      </c>
      <c r="AD537" s="31">
        <f t="shared" si="54"/>
        <v>0</v>
      </c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149">
        <f>SUM(AV535:AV536)</f>
        <v>0</v>
      </c>
    </row>
    <row r="538" spans="1:48" ht="12.75">
      <c r="A538" s="181"/>
      <c r="B538" s="184" t="s">
        <v>858</v>
      </c>
      <c r="C538" s="5" t="s">
        <v>925</v>
      </c>
      <c r="D538" s="9">
        <v>0.25</v>
      </c>
      <c r="E538" s="279"/>
      <c r="F538" s="280"/>
      <c r="G538" s="9"/>
      <c r="H538" s="83">
        <v>0.021</v>
      </c>
      <c r="I538" s="12">
        <v>0.021</v>
      </c>
      <c r="J538" s="12">
        <v>0.021</v>
      </c>
      <c r="K538" s="12">
        <v>0.021</v>
      </c>
      <c r="L538" s="12">
        <v>0.021</v>
      </c>
      <c r="M538" s="12">
        <v>0.021</v>
      </c>
      <c r="N538" s="12">
        <v>0.021</v>
      </c>
      <c r="O538" s="12">
        <v>0.021</v>
      </c>
      <c r="P538" s="12">
        <v>0.021</v>
      </c>
      <c r="Q538" s="12">
        <v>0.021</v>
      </c>
      <c r="R538" s="12">
        <v>0.021</v>
      </c>
      <c r="S538" s="12">
        <v>0.021</v>
      </c>
      <c r="T538" s="154">
        <f>SUM(H538:L538)</f>
        <v>0.10500000000000001</v>
      </c>
      <c r="U538" s="155"/>
      <c r="V538" s="243"/>
      <c r="W538" s="30"/>
      <c r="X538" s="30"/>
      <c r="Y538" s="30"/>
      <c r="Z538" s="30"/>
      <c r="AA538" s="30"/>
      <c r="AB538" s="149"/>
      <c r="AC538" s="31"/>
      <c r="AD538" s="31">
        <f t="shared" si="54"/>
        <v>0</v>
      </c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V538" s="149"/>
    </row>
    <row r="539" spans="1:48" ht="13.5" thickBot="1">
      <c r="A539" s="169" t="s">
        <v>775</v>
      </c>
      <c r="C539" s="5"/>
      <c r="D539" s="9"/>
      <c r="E539" s="279"/>
      <c r="F539" s="280"/>
      <c r="G539" s="9"/>
      <c r="H539" s="83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54"/>
      <c r="U539" s="155"/>
      <c r="V539" s="243"/>
      <c r="W539" s="30">
        <f>4.126</f>
        <v>4.126</v>
      </c>
      <c r="X539" s="30"/>
      <c r="Y539" s="30"/>
      <c r="Z539" s="30"/>
      <c r="AA539" s="30">
        <f>0.019+0.028+0.25</f>
        <v>0.297</v>
      </c>
      <c r="AB539" s="30">
        <f>SUM(AF539:AU539)</f>
        <v>0</v>
      </c>
      <c r="AC539" s="31"/>
      <c r="AD539" s="31">
        <f t="shared" si="54"/>
        <v>4.423</v>
      </c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V539" s="31">
        <f>SUM(AF539:AU539)</f>
        <v>0</v>
      </c>
    </row>
    <row r="540" spans="3:48" ht="13.5" thickBot="1">
      <c r="C540" s="7" t="s">
        <v>813</v>
      </c>
      <c r="D540" s="19">
        <f>((SUM(D412:D532))/2)+SUM(D409:D411)+SUM(D533:D539)</f>
        <v>15.233999999999996</v>
      </c>
      <c r="E540" s="277"/>
      <c r="F540" s="278"/>
      <c r="G540" s="19">
        <f aca="true" t="shared" si="56" ref="G540:T540">((SUM(G412:G532))/2)+SUM(G409:G411)+SUM(G533:G539)</f>
        <v>5.555999999999999</v>
      </c>
      <c r="H540" s="88">
        <f t="shared" si="56"/>
        <v>0.8069999999999999</v>
      </c>
      <c r="I540" s="22">
        <f t="shared" si="56"/>
        <v>0.155</v>
      </c>
      <c r="J540" s="22">
        <f t="shared" si="56"/>
        <v>1.1179999999999999</v>
      </c>
      <c r="K540" s="22">
        <f t="shared" si="56"/>
        <v>1.063</v>
      </c>
      <c r="L540" s="22">
        <f t="shared" si="56"/>
        <v>1.109</v>
      </c>
      <c r="M540" s="22">
        <f t="shared" si="56"/>
        <v>3.762</v>
      </c>
      <c r="N540" s="22">
        <f t="shared" si="56"/>
        <v>1.245</v>
      </c>
      <c r="O540" s="22">
        <f t="shared" si="56"/>
        <v>1.214</v>
      </c>
      <c r="P540" s="22">
        <f t="shared" si="56"/>
        <v>0.4750000000000001</v>
      </c>
      <c r="Q540" s="22">
        <f t="shared" si="56"/>
        <v>0.7019999999999998</v>
      </c>
      <c r="R540" s="22">
        <f t="shared" si="56"/>
        <v>0.8839999999999998</v>
      </c>
      <c r="S540" s="22">
        <f t="shared" si="56"/>
        <v>3.8249999999999997</v>
      </c>
      <c r="T540" s="19">
        <f t="shared" si="56"/>
        <v>4.252000000000001</v>
      </c>
      <c r="U540" s="46"/>
      <c r="V540" s="243"/>
      <c r="W540" s="19">
        <f aca="true" t="shared" si="57" ref="W540:AD540">SUM(W409:W539)</f>
        <v>4.126</v>
      </c>
      <c r="X540" s="19">
        <f t="shared" si="57"/>
        <v>1.732</v>
      </c>
      <c r="Y540" s="19">
        <f t="shared" si="57"/>
        <v>0</v>
      </c>
      <c r="Z540" s="19">
        <f t="shared" si="57"/>
        <v>0</v>
      </c>
      <c r="AA540" s="19">
        <f t="shared" si="57"/>
        <v>0.297</v>
      </c>
      <c r="AB540" s="19">
        <f t="shared" si="57"/>
        <v>9.009</v>
      </c>
      <c r="AC540" s="19">
        <f t="shared" si="57"/>
        <v>0.07</v>
      </c>
      <c r="AD540" s="19">
        <f t="shared" si="57"/>
        <v>15.233999999999998</v>
      </c>
      <c r="AE540" s="7"/>
      <c r="AF540" s="19">
        <f aca="true" t="shared" si="58" ref="AF540:AP540">((SUM(AF412:AF532))/2)+SUM(AF409:AF411)+SUM(AF533:AF539)</f>
        <v>9.009</v>
      </c>
      <c r="AG540" s="19">
        <f t="shared" si="58"/>
        <v>0</v>
      </c>
      <c r="AH540" s="19">
        <f t="shared" si="58"/>
        <v>0</v>
      </c>
      <c r="AI540" s="19">
        <f t="shared" si="58"/>
        <v>0</v>
      </c>
      <c r="AJ540" s="19">
        <f t="shared" si="58"/>
        <v>0</v>
      </c>
      <c r="AK540" s="19">
        <f t="shared" si="58"/>
        <v>0</v>
      </c>
      <c r="AL540" s="19">
        <f t="shared" si="58"/>
        <v>0</v>
      </c>
      <c r="AM540" s="19">
        <f t="shared" si="58"/>
        <v>0</v>
      </c>
      <c r="AN540" s="19">
        <f t="shared" si="58"/>
        <v>0</v>
      </c>
      <c r="AO540" s="19">
        <f t="shared" si="58"/>
        <v>0</v>
      </c>
      <c r="AP540" s="19">
        <f t="shared" si="58"/>
        <v>0</v>
      </c>
      <c r="AQ540" s="19">
        <f aca="true" t="shared" si="59" ref="AQ540:AV540">SUM(AQ409:AQ539)</f>
        <v>0</v>
      </c>
      <c r="AR540" s="19">
        <f t="shared" si="59"/>
        <v>0</v>
      </c>
      <c r="AS540" s="19">
        <f t="shared" si="59"/>
        <v>0</v>
      </c>
      <c r="AT540" s="19">
        <f t="shared" si="59"/>
        <v>0</v>
      </c>
      <c r="AU540" s="19">
        <f t="shared" si="59"/>
        <v>0</v>
      </c>
      <c r="AV540" s="19">
        <f t="shared" si="59"/>
        <v>9.009</v>
      </c>
    </row>
    <row r="541" spans="3:48" ht="12.75">
      <c r="C541" s="5"/>
      <c r="E541" s="267"/>
      <c r="F541" s="269"/>
      <c r="G541" s="9"/>
      <c r="H541" s="83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87"/>
      <c r="T541" s="87"/>
      <c r="U541" s="12"/>
      <c r="V541" s="243"/>
      <c r="W541" s="30"/>
      <c r="X541" s="30"/>
      <c r="Y541" s="30"/>
      <c r="Z541" s="30"/>
      <c r="AA541" s="30"/>
      <c r="AB541" s="30"/>
      <c r="AC541" s="31"/>
      <c r="AD541" s="31"/>
      <c r="AF541" s="313"/>
      <c r="AG541" s="313"/>
      <c r="AH541" s="313"/>
      <c r="AI541" s="313"/>
      <c r="AJ541" s="313"/>
      <c r="AK541" s="313"/>
      <c r="AL541" s="313"/>
      <c r="AM541" s="313"/>
      <c r="AN541" s="313"/>
      <c r="AO541" s="313"/>
      <c r="AP541" s="313"/>
      <c r="AQ541" s="313"/>
      <c r="AR541" s="313"/>
      <c r="AS541" s="313"/>
      <c r="AT541" s="313"/>
      <c r="AU541" s="313"/>
      <c r="AV541" s="313"/>
    </row>
    <row r="542" spans="3:48" ht="12.75">
      <c r="C542" s="7" t="s">
        <v>386</v>
      </c>
      <c r="D542" s="5"/>
      <c r="E542" s="267"/>
      <c r="F542" s="269"/>
      <c r="G542" s="9"/>
      <c r="H542" s="83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87"/>
      <c r="T542" s="87"/>
      <c r="U542" s="12"/>
      <c r="V542" s="243"/>
      <c r="W542" s="30"/>
      <c r="X542" s="30"/>
      <c r="Y542" s="30"/>
      <c r="Z542" s="30"/>
      <c r="AA542" s="30"/>
      <c r="AB542" s="30"/>
      <c r="AC542" s="31"/>
      <c r="AD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</row>
    <row r="543" spans="2:48" ht="12.75">
      <c r="B543" s="311" t="s">
        <v>612</v>
      </c>
      <c r="C543" s="309" t="s">
        <v>613</v>
      </c>
      <c r="D543" s="312">
        <v>0.026</v>
      </c>
      <c r="E543" s="267"/>
      <c r="F543" s="269"/>
      <c r="G543" s="9"/>
      <c r="H543" s="83"/>
      <c r="I543" s="12"/>
      <c r="J543" s="12"/>
      <c r="K543" s="12"/>
      <c r="L543" s="12"/>
      <c r="M543" s="12"/>
      <c r="N543" s="12">
        <v>0.007</v>
      </c>
      <c r="O543" s="12">
        <v>0.007</v>
      </c>
      <c r="P543" s="12">
        <v>0.007</v>
      </c>
      <c r="Q543" s="12">
        <v>0.007</v>
      </c>
      <c r="R543" s="12"/>
      <c r="S543" s="12"/>
      <c r="T543" s="154">
        <f>SUM(H543:L543)</f>
        <v>0</v>
      </c>
      <c r="U543" s="155"/>
      <c r="V543" s="243"/>
      <c r="W543" s="30"/>
      <c r="X543" s="30"/>
      <c r="Y543" s="30"/>
      <c r="Z543" s="30"/>
      <c r="AA543" s="30">
        <v>0.026</v>
      </c>
      <c r="AB543" s="30">
        <f>SUM(AF543:AU543)</f>
        <v>0</v>
      </c>
      <c r="AC543" s="31"/>
      <c r="AD543" s="48">
        <f>SUM(W543:AC543)</f>
        <v>0.026</v>
      </c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>
        <f aca="true" t="shared" si="60" ref="AV543:AV571">SUM(AF543:AU543)</f>
        <v>0</v>
      </c>
    </row>
    <row r="544" spans="2:48" ht="12.75">
      <c r="B544" s="311" t="s">
        <v>236</v>
      </c>
      <c r="C544" s="309" t="s">
        <v>237</v>
      </c>
      <c r="D544" s="312"/>
      <c r="E544" s="267"/>
      <c r="F544" s="269"/>
      <c r="G544" s="9">
        <v>0.005</v>
      </c>
      <c r="H544" s="83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54"/>
      <c r="U544" s="155"/>
      <c r="V544" s="243"/>
      <c r="W544" s="30"/>
      <c r="X544" s="30"/>
      <c r="Y544" s="30"/>
      <c r="Z544" s="30"/>
      <c r="AA544" s="30"/>
      <c r="AB544" s="30"/>
      <c r="AC544" s="31"/>
      <c r="AD544" s="48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</row>
    <row r="545" spans="2:48" ht="12.75">
      <c r="B545" s="311" t="s">
        <v>614</v>
      </c>
      <c r="C545" s="309" t="s">
        <v>615</v>
      </c>
      <c r="D545" s="312">
        <v>0.025</v>
      </c>
      <c r="E545" s="267"/>
      <c r="F545" s="269"/>
      <c r="G545" s="9">
        <v>0.005</v>
      </c>
      <c r="H545" s="83"/>
      <c r="I545" s="12"/>
      <c r="J545" s="12">
        <v>0.005</v>
      </c>
      <c r="K545" s="12"/>
      <c r="L545" s="12"/>
      <c r="M545" s="12">
        <v>0.005</v>
      </c>
      <c r="N545" s="12">
        <v>0.005</v>
      </c>
      <c r="O545" s="12">
        <v>0.005</v>
      </c>
      <c r="P545" s="12">
        <v>0.005</v>
      </c>
      <c r="Q545" s="12"/>
      <c r="R545" s="12"/>
      <c r="S545" s="12"/>
      <c r="T545" s="154">
        <f aca="true" t="shared" si="61" ref="T545:T573">SUM(H545:L545)</f>
        <v>0.005</v>
      </c>
      <c r="U545" s="155"/>
      <c r="V545" s="243"/>
      <c r="W545" s="30"/>
      <c r="X545" s="30"/>
      <c r="Y545" s="30"/>
      <c r="Z545" s="30"/>
      <c r="AA545" s="30">
        <v>0.025</v>
      </c>
      <c r="AB545" s="30">
        <f aca="true" t="shared" si="62" ref="AB545:AB573">SUM(AF545:AU545)</f>
        <v>0</v>
      </c>
      <c r="AC545" s="31"/>
      <c r="AD545" s="48">
        <f aca="true" t="shared" si="63" ref="AD545:AD573">SUM(W545:AC545)</f>
        <v>0.025</v>
      </c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>
        <f t="shared" si="60"/>
        <v>0</v>
      </c>
    </row>
    <row r="546" spans="2:48" ht="12.75">
      <c r="B546" s="311" t="s">
        <v>616</v>
      </c>
      <c r="C546" s="309" t="s">
        <v>617</v>
      </c>
      <c r="D546" s="312">
        <v>0.002</v>
      </c>
      <c r="E546" s="267"/>
      <c r="F546" s="269"/>
      <c r="G546" s="9"/>
      <c r="H546" s="83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>
        <v>0.002</v>
      </c>
      <c r="T546" s="154">
        <f t="shared" si="61"/>
        <v>0</v>
      </c>
      <c r="U546" s="155"/>
      <c r="V546" s="243"/>
      <c r="W546" s="30">
        <v>0.002</v>
      </c>
      <c r="X546" s="30"/>
      <c r="Y546" s="30"/>
      <c r="Z546" s="30"/>
      <c r="AA546" s="30"/>
      <c r="AB546" s="30">
        <f t="shared" si="62"/>
        <v>0</v>
      </c>
      <c r="AC546" s="31"/>
      <c r="AD546" s="48">
        <f t="shared" si="63"/>
        <v>0.002</v>
      </c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>
        <f t="shared" si="60"/>
        <v>0</v>
      </c>
    </row>
    <row r="547" spans="2:48" ht="12.75">
      <c r="B547" s="311" t="s">
        <v>618</v>
      </c>
      <c r="C547" s="310" t="s">
        <v>619</v>
      </c>
      <c r="D547" s="312">
        <v>0.05</v>
      </c>
      <c r="E547" s="267"/>
      <c r="F547" s="269"/>
      <c r="G547" s="9"/>
      <c r="H547" s="83"/>
      <c r="I547" s="12"/>
      <c r="J547" s="12"/>
      <c r="K547" s="12"/>
      <c r="L547" s="12"/>
      <c r="M547" s="12"/>
      <c r="N547" s="12">
        <v>0.008</v>
      </c>
      <c r="O547" s="12">
        <v>0.008</v>
      </c>
      <c r="P547" s="12">
        <v>0.008</v>
      </c>
      <c r="Q547" s="12">
        <v>0.008</v>
      </c>
      <c r="R547" s="12">
        <v>0.008</v>
      </c>
      <c r="S547" s="12">
        <v>0.008</v>
      </c>
      <c r="T547" s="154">
        <f t="shared" si="61"/>
        <v>0</v>
      </c>
      <c r="U547" s="155"/>
      <c r="V547" s="243"/>
      <c r="W547" s="30"/>
      <c r="X547" s="30"/>
      <c r="Y547" s="30"/>
      <c r="Z547" s="30"/>
      <c r="AA547" s="30">
        <v>0.05</v>
      </c>
      <c r="AB547" s="30">
        <f t="shared" si="62"/>
        <v>0</v>
      </c>
      <c r="AC547" s="31"/>
      <c r="AD547" s="48">
        <f t="shared" si="63"/>
        <v>0.05</v>
      </c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>
        <f t="shared" si="60"/>
        <v>0</v>
      </c>
    </row>
    <row r="548" spans="2:48" ht="12.75">
      <c r="B548" s="311" t="s">
        <v>204</v>
      </c>
      <c r="C548" s="310" t="s">
        <v>207</v>
      </c>
      <c r="D548" s="312">
        <v>0.009</v>
      </c>
      <c r="E548" s="267"/>
      <c r="F548" s="269"/>
      <c r="G548" s="9">
        <v>0.001</v>
      </c>
      <c r="H548" s="83"/>
      <c r="I548" s="12"/>
      <c r="J548" s="12"/>
      <c r="K548" s="12"/>
      <c r="L548" s="12">
        <v>0.003</v>
      </c>
      <c r="M548" s="12">
        <v>0.003</v>
      </c>
      <c r="N548" s="12">
        <v>0.003</v>
      </c>
      <c r="O548" s="12"/>
      <c r="P548" s="12"/>
      <c r="Q548" s="12"/>
      <c r="R548" s="12"/>
      <c r="S548" s="12"/>
      <c r="T548" s="154">
        <f t="shared" si="61"/>
        <v>0.003</v>
      </c>
      <c r="U548" s="155"/>
      <c r="V548" s="243"/>
      <c r="W548" s="30">
        <v>0.005</v>
      </c>
      <c r="X548" s="30"/>
      <c r="Y548" s="30"/>
      <c r="Z548" s="30"/>
      <c r="AA548" s="30">
        <v>0.004</v>
      </c>
      <c r="AB548" s="30">
        <f t="shared" si="62"/>
        <v>0</v>
      </c>
      <c r="AC548" s="31"/>
      <c r="AD548" s="48">
        <f t="shared" si="63"/>
        <v>0.009000000000000001</v>
      </c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</row>
    <row r="549" spans="2:48" ht="12.75">
      <c r="B549" s="311" t="s">
        <v>202</v>
      </c>
      <c r="C549" s="310" t="s">
        <v>203</v>
      </c>
      <c r="D549" s="312">
        <v>0.024</v>
      </c>
      <c r="E549" s="267"/>
      <c r="F549" s="269"/>
      <c r="G549" s="9"/>
      <c r="H549" s="83"/>
      <c r="I549" s="12"/>
      <c r="J549" s="12"/>
      <c r="K549" s="12"/>
      <c r="L549" s="12">
        <v>0.008</v>
      </c>
      <c r="M549" s="12">
        <v>0.008</v>
      </c>
      <c r="N549" s="12">
        <v>0.008</v>
      </c>
      <c r="O549" s="12"/>
      <c r="P549" s="12"/>
      <c r="Q549" s="12"/>
      <c r="R549" s="12"/>
      <c r="S549" s="12"/>
      <c r="T549" s="154">
        <f t="shared" si="61"/>
        <v>0.008</v>
      </c>
      <c r="U549" s="155"/>
      <c r="V549" s="243"/>
      <c r="W549" s="30"/>
      <c r="X549" s="30"/>
      <c r="Y549" s="30"/>
      <c r="Z549" s="30"/>
      <c r="AA549" s="30">
        <v>0.024</v>
      </c>
      <c r="AB549" s="30">
        <f t="shared" si="62"/>
        <v>0</v>
      </c>
      <c r="AC549" s="31"/>
      <c r="AD549" s="48">
        <f t="shared" si="63"/>
        <v>0.024</v>
      </c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</row>
    <row r="550" spans="2:48" ht="12.75">
      <c r="B550" s="311" t="s">
        <v>193</v>
      </c>
      <c r="C550" s="310" t="s">
        <v>194</v>
      </c>
      <c r="D550" s="312"/>
      <c r="E550" s="267"/>
      <c r="F550" s="269"/>
      <c r="G550" s="9">
        <v>0.56</v>
      </c>
      <c r="H550" s="83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54">
        <f t="shared" si="61"/>
        <v>0</v>
      </c>
      <c r="U550" s="155"/>
      <c r="V550" s="243"/>
      <c r="W550" s="30"/>
      <c r="X550" s="30"/>
      <c r="Y550" s="30"/>
      <c r="Z550" s="30"/>
      <c r="AA550" s="30"/>
      <c r="AB550" s="30">
        <f t="shared" si="62"/>
        <v>0</v>
      </c>
      <c r="AC550" s="31"/>
      <c r="AD550" s="48">
        <f t="shared" si="63"/>
        <v>0</v>
      </c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</row>
    <row r="551" spans="2:48" ht="12.75">
      <c r="B551" s="311" t="s">
        <v>620</v>
      </c>
      <c r="C551" s="309" t="s">
        <v>621</v>
      </c>
      <c r="D551" s="312">
        <v>0.003</v>
      </c>
      <c r="E551" s="267"/>
      <c r="F551" s="269"/>
      <c r="G551" s="9"/>
      <c r="H551" s="83"/>
      <c r="I551" s="12"/>
      <c r="J551" s="12"/>
      <c r="K551" s="12"/>
      <c r="L551" s="12"/>
      <c r="M551" s="12">
        <v>0.003</v>
      </c>
      <c r="N551" s="12"/>
      <c r="O551" s="12"/>
      <c r="P551" s="12"/>
      <c r="Q551" s="12"/>
      <c r="R551" s="12"/>
      <c r="S551" s="12"/>
      <c r="T551" s="154">
        <f t="shared" si="61"/>
        <v>0</v>
      </c>
      <c r="U551" s="155"/>
      <c r="V551" s="243"/>
      <c r="W551" s="30"/>
      <c r="X551" s="30"/>
      <c r="Y551" s="30"/>
      <c r="Z551" s="30"/>
      <c r="AA551" s="30">
        <v>0.003</v>
      </c>
      <c r="AB551" s="30">
        <f t="shared" si="62"/>
        <v>0</v>
      </c>
      <c r="AC551" s="31"/>
      <c r="AD551" s="48">
        <f t="shared" si="63"/>
        <v>0.003</v>
      </c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>
        <f t="shared" si="60"/>
        <v>0</v>
      </c>
    </row>
    <row r="552" spans="2:48" ht="12.75">
      <c r="B552" s="311" t="s">
        <v>200</v>
      </c>
      <c r="C552" s="309" t="s">
        <v>201</v>
      </c>
      <c r="D552" s="312">
        <v>0.003</v>
      </c>
      <c r="E552" s="267"/>
      <c r="F552" s="269"/>
      <c r="G552" s="9">
        <v>0.003</v>
      </c>
      <c r="H552" s="83">
        <v>0.003</v>
      </c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54">
        <f t="shared" si="61"/>
        <v>0.003</v>
      </c>
      <c r="U552" s="155"/>
      <c r="V552" s="243"/>
      <c r="W552" s="30">
        <v>0.003</v>
      </c>
      <c r="X552" s="30"/>
      <c r="Y552" s="30"/>
      <c r="Z552" s="30"/>
      <c r="AA552" s="30"/>
      <c r="AB552" s="30">
        <f t="shared" si="62"/>
        <v>0</v>
      </c>
      <c r="AC552" s="31"/>
      <c r="AD552" s="48">
        <f t="shared" si="63"/>
        <v>0.003</v>
      </c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</row>
    <row r="553" spans="2:48" ht="12.75">
      <c r="B553" s="311" t="s">
        <v>622</v>
      </c>
      <c r="C553" s="310" t="s">
        <v>623</v>
      </c>
      <c r="D553" s="312">
        <v>0.016</v>
      </c>
      <c r="E553" s="267"/>
      <c r="F553" s="269"/>
      <c r="G553" s="9"/>
      <c r="H553" s="83"/>
      <c r="I553" s="12"/>
      <c r="J553" s="12"/>
      <c r="K553" s="12"/>
      <c r="L553" s="12"/>
      <c r="M553" s="12">
        <v>0.016</v>
      </c>
      <c r="N553" s="12"/>
      <c r="O553" s="12"/>
      <c r="P553" s="12"/>
      <c r="Q553" s="12"/>
      <c r="R553" s="12"/>
      <c r="S553" s="12"/>
      <c r="T553" s="154">
        <f t="shared" si="61"/>
        <v>0</v>
      </c>
      <c r="U553" s="155"/>
      <c r="V553" s="243"/>
      <c r="W553" s="30"/>
      <c r="X553" s="30"/>
      <c r="Y553" s="30"/>
      <c r="Z553" s="30"/>
      <c r="AA553" s="30">
        <v>0.016</v>
      </c>
      <c r="AB553" s="30">
        <f t="shared" si="62"/>
        <v>0</v>
      </c>
      <c r="AC553" s="31"/>
      <c r="AD553" s="48">
        <f t="shared" si="63"/>
        <v>0.016</v>
      </c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>
        <f t="shared" si="60"/>
        <v>0</v>
      </c>
    </row>
    <row r="554" spans="2:48" ht="12.75">
      <c r="B554" s="311" t="s">
        <v>578</v>
      </c>
      <c r="C554" s="310" t="s">
        <v>579</v>
      </c>
      <c r="D554" s="312"/>
      <c r="E554" s="267"/>
      <c r="F554" s="269"/>
      <c r="G554" s="9">
        <v>0.001</v>
      </c>
      <c r="H554" s="83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54"/>
      <c r="U554" s="155"/>
      <c r="V554" s="243"/>
      <c r="W554" s="30"/>
      <c r="X554" s="30"/>
      <c r="Y554" s="30"/>
      <c r="Z554" s="30"/>
      <c r="AA554" s="30"/>
      <c r="AB554" s="30">
        <f t="shared" si="62"/>
        <v>0</v>
      </c>
      <c r="AC554" s="31"/>
      <c r="AD554" s="48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</row>
    <row r="555" spans="2:48" ht="12.75">
      <c r="B555" s="311" t="s">
        <v>624</v>
      </c>
      <c r="C555" s="310" t="s">
        <v>625</v>
      </c>
      <c r="D555" s="312">
        <v>0.1</v>
      </c>
      <c r="E555" s="267"/>
      <c r="F555" s="269"/>
      <c r="G555" s="9"/>
      <c r="H555" s="83"/>
      <c r="I555" s="12"/>
      <c r="J555" s="12"/>
      <c r="K555" s="12"/>
      <c r="L555" s="12"/>
      <c r="M555" s="12"/>
      <c r="N555" s="12">
        <v>0.017</v>
      </c>
      <c r="O555" s="12">
        <v>0.017</v>
      </c>
      <c r="P555" s="12">
        <v>0.017</v>
      </c>
      <c r="Q555" s="12">
        <v>0.017</v>
      </c>
      <c r="R555" s="12">
        <v>0.017</v>
      </c>
      <c r="S555" s="12">
        <v>0.017</v>
      </c>
      <c r="T555" s="154">
        <f t="shared" si="61"/>
        <v>0</v>
      </c>
      <c r="U555" s="155"/>
      <c r="V555" s="243"/>
      <c r="W555" s="30">
        <v>0.1</v>
      </c>
      <c r="X555" s="30"/>
      <c r="Y555" s="30"/>
      <c r="Z555" s="30"/>
      <c r="AA555" s="30"/>
      <c r="AB555" s="30">
        <f t="shared" si="62"/>
        <v>0</v>
      </c>
      <c r="AC555" s="31"/>
      <c r="AD555" s="48">
        <f t="shared" si="63"/>
        <v>0.1</v>
      </c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>
        <f t="shared" si="60"/>
        <v>0</v>
      </c>
    </row>
    <row r="556" spans="2:48" ht="12.75">
      <c r="B556" s="311" t="s">
        <v>626</v>
      </c>
      <c r="C556" s="310" t="s">
        <v>627</v>
      </c>
      <c r="D556" s="312">
        <v>0.008</v>
      </c>
      <c r="E556" s="267"/>
      <c r="F556" s="269"/>
      <c r="G556" s="9">
        <v>0.001</v>
      </c>
      <c r="H556" s="83"/>
      <c r="I556" s="12"/>
      <c r="J556" s="12"/>
      <c r="K556" s="12"/>
      <c r="L556" s="12">
        <v>0.003</v>
      </c>
      <c r="M556" s="12">
        <v>0.003</v>
      </c>
      <c r="N556" s="12">
        <v>0.003</v>
      </c>
      <c r="O556" s="12"/>
      <c r="P556" s="12"/>
      <c r="Q556" s="12"/>
      <c r="R556" s="12"/>
      <c r="S556" s="12"/>
      <c r="T556" s="154">
        <f t="shared" si="61"/>
        <v>0.003</v>
      </c>
      <c r="U556" s="155"/>
      <c r="V556" s="243"/>
      <c r="W556" s="30"/>
      <c r="X556" s="30"/>
      <c r="Y556" s="30"/>
      <c r="Z556" s="30"/>
      <c r="AA556" s="30">
        <v>0.008</v>
      </c>
      <c r="AB556" s="30">
        <f t="shared" si="62"/>
        <v>0</v>
      </c>
      <c r="AC556" s="31"/>
      <c r="AD556" s="48">
        <f t="shared" si="63"/>
        <v>0.008</v>
      </c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>
        <f t="shared" si="60"/>
        <v>0</v>
      </c>
    </row>
    <row r="557" spans="2:48" ht="12.75">
      <c r="B557" s="311" t="s">
        <v>628</v>
      </c>
      <c r="C557" s="310" t="s">
        <v>629</v>
      </c>
      <c r="D557" s="312">
        <v>0.008</v>
      </c>
      <c r="E557" s="267"/>
      <c r="F557" s="269"/>
      <c r="G557" s="9"/>
      <c r="H557" s="83"/>
      <c r="I557" s="12"/>
      <c r="J557" s="12"/>
      <c r="K557" s="12"/>
      <c r="L557" s="12"/>
      <c r="M557" s="12">
        <v>0.004</v>
      </c>
      <c r="N557" s="12">
        <v>0.004</v>
      </c>
      <c r="O557" s="12"/>
      <c r="P557" s="12"/>
      <c r="Q557" s="12"/>
      <c r="R557" s="12"/>
      <c r="S557" s="12"/>
      <c r="T557" s="154">
        <f t="shared" si="61"/>
        <v>0</v>
      </c>
      <c r="U557" s="155"/>
      <c r="V557" s="243"/>
      <c r="W557" s="30">
        <v>0.008</v>
      </c>
      <c r="X557" s="30"/>
      <c r="Y557" s="30"/>
      <c r="Z557" s="30"/>
      <c r="AA557" s="30"/>
      <c r="AB557" s="30">
        <f t="shared" si="62"/>
        <v>0</v>
      </c>
      <c r="AC557" s="31"/>
      <c r="AD557" s="48">
        <f t="shared" si="63"/>
        <v>0.008</v>
      </c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>
        <f t="shared" si="60"/>
        <v>0</v>
      </c>
    </row>
    <row r="558" spans="2:48" ht="12.75">
      <c r="B558" s="311" t="s">
        <v>630</v>
      </c>
      <c r="C558" s="310" t="s">
        <v>631</v>
      </c>
      <c r="D558" s="312">
        <v>0.02</v>
      </c>
      <c r="E558" s="267"/>
      <c r="F558" s="269"/>
      <c r="G558" s="9"/>
      <c r="H558" s="83"/>
      <c r="I558" s="12"/>
      <c r="J558" s="12"/>
      <c r="K558" s="12"/>
      <c r="L558" s="12"/>
      <c r="M558" s="12"/>
      <c r="N558" s="12">
        <v>0.003</v>
      </c>
      <c r="O558" s="12">
        <v>0.003</v>
      </c>
      <c r="P558" s="12">
        <v>0.003</v>
      </c>
      <c r="Q558" s="12">
        <v>0.003</v>
      </c>
      <c r="R558" s="12">
        <v>0.003</v>
      </c>
      <c r="S558" s="12">
        <v>0.003</v>
      </c>
      <c r="T558" s="154">
        <f t="shared" si="61"/>
        <v>0</v>
      </c>
      <c r="U558" s="155"/>
      <c r="V558" s="243"/>
      <c r="W558" s="30"/>
      <c r="X558" s="30"/>
      <c r="Y558" s="30"/>
      <c r="Z558" s="30"/>
      <c r="AA558" s="30">
        <v>0.02</v>
      </c>
      <c r="AB558" s="30">
        <f t="shared" si="62"/>
        <v>0</v>
      </c>
      <c r="AC558" s="31"/>
      <c r="AD558" s="48">
        <f t="shared" si="63"/>
        <v>0.02</v>
      </c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>
        <f t="shared" si="60"/>
        <v>0</v>
      </c>
    </row>
    <row r="559" spans="2:48" ht="12.75">
      <c r="B559" s="311" t="s">
        <v>632</v>
      </c>
      <c r="C559" s="310" t="s">
        <v>633</v>
      </c>
      <c r="D559" s="312">
        <v>0.033</v>
      </c>
      <c r="E559" s="267"/>
      <c r="F559" s="269"/>
      <c r="G559" s="9"/>
      <c r="H559" s="83"/>
      <c r="I559" s="12"/>
      <c r="J559" s="12"/>
      <c r="K559" s="12"/>
      <c r="L559" s="12"/>
      <c r="M559" s="12"/>
      <c r="N559" s="12">
        <v>0.006</v>
      </c>
      <c r="O559" s="12">
        <v>0.006</v>
      </c>
      <c r="P559" s="12">
        <v>0.006</v>
      </c>
      <c r="Q559" s="12">
        <v>0.006</v>
      </c>
      <c r="R559" s="12">
        <v>0.006</v>
      </c>
      <c r="S559" s="12">
        <v>0.006</v>
      </c>
      <c r="T559" s="154">
        <f t="shared" si="61"/>
        <v>0</v>
      </c>
      <c r="U559" s="155"/>
      <c r="V559" s="243"/>
      <c r="W559" s="30">
        <v>0.033</v>
      </c>
      <c r="X559" s="30"/>
      <c r="Y559" s="30"/>
      <c r="Z559" s="30"/>
      <c r="AA559" s="30"/>
      <c r="AB559" s="30">
        <f t="shared" si="62"/>
        <v>0</v>
      </c>
      <c r="AC559" s="31"/>
      <c r="AD559" s="48">
        <f t="shared" si="63"/>
        <v>0.033</v>
      </c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>
        <f t="shared" si="60"/>
        <v>0</v>
      </c>
    </row>
    <row r="560" spans="2:48" ht="12.75">
      <c r="B560" s="311" t="s">
        <v>634</v>
      </c>
      <c r="C560" s="309" t="s">
        <v>635</v>
      </c>
      <c r="D560" s="312">
        <v>0.137</v>
      </c>
      <c r="E560" s="267"/>
      <c r="F560" s="269"/>
      <c r="G560" s="9">
        <v>0.015</v>
      </c>
      <c r="H560" s="83"/>
      <c r="I560" s="12"/>
      <c r="J560" s="12">
        <v>0.014</v>
      </c>
      <c r="K560" s="12">
        <v>0.014</v>
      </c>
      <c r="L560" s="12">
        <v>0.014</v>
      </c>
      <c r="M560" s="12">
        <v>0.014</v>
      </c>
      <c r="N560" s="12">
        <v>0.014</v>
      </c>
      <c r="O560" s="12">
        <v>0.014</v>
      </c>
      <c r="P560" s="12">
        <v>0.014</v>
      </c>
      <c r="Q560" s="12">
        <v>0.014</v>
      </c>
      <c r="R560" s="12">
        <v>0.014</v>
      </c>
      <c r="S560" s="12">
        <v>0.014</v>
      </c>
      <c r="T560" s="154">
        <f t="shared" si="61"/>
        <v>0.042</v>
      </c>
      <c r="U560" s="155"/>
      <c r="V560" s="243"/>
      <c r="W560" s="30"/>
      <c r="X560" s="30"/>
      <c r="Y560" s="30"/>
      <c r="Z560" s="30"/>
      <c r="AA560" s="30">
        <v>0.1</v>
      </c>
      <c r="AB560" s="30">
        <f t="shared" si="62"/>
        <v>0.037</v>
      </c>
      <c r="AC560" s="31"/>
      <c r="AD560" s="48">
        <f t="shared" si="63"/>
        <v>0.137</v>
      </c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>
        <v>0.037</v>
      </c>
      <c r="AV560" s="31">
        <f t="shared" si="60"/>
        <v>0.037</v>
      </c>
    </row>
    <row r="561" spans="2:48" ht="12.75">
      <c r="B561" s="311" t="s">
        <v>636</v>
      </c>
      <c r="C561" s="309" t="s">
        <v>637</v>
      </c>
      <c r="D561" s="312">
        <v>0.248</v>
      </c>
      <c r="E561" s="267"/>
      <c r="F561" s="269"/>
      <c r="G561" s="9">
        <v>0.007</v>
      </c>
      <c r="H561" s="83"/>
      <c r="I561" s="12"/>
      <c r="J561" s="12"/>
      <c r="K561" s="12"/>
      <c r="L561" s="12">
        <v>0.031</v>
      </c>
      <c r="M561" s="12">
        <v>0.031</v>
      </c>
      <c r="N561" s="12">
        <v>0.031</v>
      </c>
      <c r="O561" s="12">
        <v>0.031</v>
      </c>
      <c r="P561" s="12">
        <v>0.031</v>
      </c>
      <c r="Q561" s="12">
        <v>0.031</v>
      </c>
      <c r="R561" s="12">
        <v>0.031</v>
      </c>
      <c r="S561" s="12">
        <v>0.031</v>
      </c>
      <c r="T561" s="154">
        <f t="shared" si="61"/>
        <v>0.031</v>
      </c>
      <c r="U561" s="155"/>
      <c r="V561" s="243"/>
      <c r="W561" s="30"/>
      <c r="X561" s="30"/>
      <c r="Y561" s="30"/>
      <c r="Z561" s="30"/>
      <c r="AA561" s="30">
        <v>0.1</v>
      </c>
      <c r="AB561" s="30">
        <f t="shared" si="62"/>
        <v>0.148</v>
      </c>
      <c r="AC561" s="31"/>
      <c r="AD561" s="48">
        <f t="shared" si="63"/>
        <v>0.248</v>
      </c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>
        <v>0.148</v>
      </c>
      <c r="AV561" s="31">
        <f t="shared" si="60"/>
        <v>0.148</v>
      </c>
    </row>
    <row r="562" spans="2:49" ht="12.75">
      <c r="B562" s="311" t="s">
        <v>638</v>
      </c>
      <c r="C562" s="309" t="s">
        <v>639</v>
      </c>
      <c r="D562" s="312">
        <v>0.11</v>
      </c>
      <c r="E562" s="267"/>
      <c r="F562" s="269"/>
      <c r="G562" s="9">
        <v>0.006</v>
      </c>
      <c r="H562" s="83"/>
      <c r="I562" s="12"/>
      <c r="J562" s="12"/>
      <c r="K562" s="12">
        <v>0.005</v>
      </c>
      <c r="L562" s="12"/>
      <c r="M562" s="12">
        <v>0.03</v>
      </c>
      <c r="N562" s="12">
        <v>0.025</v>
      </c>
      <c r="O562" s="12">
        <v>0.021</v>
      </c>
      <c r="P562" s="12">
        <v>0.029</v>
      </c>
      <c r="Q562" s="12"/>
      <c r="R562" s="12"/>
      <c r="S562" s="12"/>
      <c r="T562" s="154">
        <f t="shared" si="61"/>
        <v>0.005</v>
      </c>
      <c r="U562" s="155"/>
      <c r="V562" s="243"/>
      <c r="W562" s="30"/>
      <c r="X562" s="30">
        <v>0.09</v>
      </c>
      <c r="Y562" s="30"/>
      <c r="Z562" s="30"/>
      <c r="AA562" s="30"/>
      <c r="AB562" s="30">
        <f t="shared" si="62"/>
        <v>0</v>
      </c>
      <c r="AC562" s="31">
        <v>0.02</v>
      </c>
      <c r="AD562" s="48">
        <f t="shared" si="63"/>
        <v>0.11</v>
      </c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>
        <f t="shared" si="60"/>
        <v>0</v>
      </c>
      <c r="AW562" s="27" t="s">
        <v>658</v>
      </c>
    </row>
    <row r="563" spans="2:49" ht="12.75">
      <c r="B563" s="311" t="s">
        <v>640</v>
      </c>
      <c r="C563" s="309" t="s">
        <v>641</v>
      </c>
      <c r="D563" s="312">
        <v>0.002</v>
      </c>
      <c r="E563" s="267"/>
      <c r="F563" s="269"/>
      <c r="G563" s="9"/>
      <c r="H563" s="83"/>
      <c r="I563" s="12"/>
      <c r="J563" s="12"/>
      <c r="K563" s="12">
        <v>0.002</v>
      </c>
      <c r="L563" s="12"/>
      <c r="M563" s="12"/>
      <c r="N563" s="12"/>
      <c r="O563" s="12"/>
      <c r="P563" s="12"/>
      <c r="Q563" s="12"/>
      <c r="R563" s="12"/>
      <c r="S563" s="12"/>
      <c r="T563" s="154">
        <f t="shared" si="61"/>
        <v>0.002</v>
      </c>
      <c r="U563" s="155"/>
      <c r="V563" s="243"/>
      <c r="W563" s="30"/>
      <c r="X563" s="30"/>
      <c r="Y563" s="30"/>
      <c r="Z563" s="30"/>
      <c r="AA563" s="30"/>
      <c r="AB563" s="30">
        <f t="shared" si="62"/>
        <v>0</v>
      </c>
      <c r="AC563" s="31">
        <v>0.002</v>
      </c>
      <c r="AD563" s="48">
        <f t="shared" si="63"/>
        <v>0.002</v>
      </c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>
        <f t="shared" si="60"/>
        <v>0</v>
      </c>
      <c r="AW563" s="27" t="s">
        <v>659</v>
      </c>
    </row>
    <row r="564" spans="2:49" ht="12.75">
      <c r="B564" s="311" t="s">
        <v>642</v>
      </c>
      <c r="C564" s="309" t="s">
        <v>643</v>
      </c>
      <c r="D564" s="312">
        <v>0.002</v>
      </c>
      <c r="E564" s="267"/>
      <c r="F564" s="269"/>
      <c r="G564" s="9"/>
      <c r="H564" s="83"/>
      <c r="I564" s="12"/>
      <c r="J564" s="12"/>
      <c r="K564" s="12">
        <v>0.002</v>
      </c>
      <c r="L564" s="12"/>
      <c r="M564" s="12"/>
      <c r="N564" s="12"/>
      <c r="O564" s="12"/>
      <c r="P564" s="12"/>
      <c r="Q564" s="12"/>
      <c r="R564" s="12"/>
      <c r="S564" s="12"/>
      <c r="T564" s="154">
        <f t="shared" si="61"/>
        <v>0.002</v>
      </c>
      <c r="U564" s="155"/>
      <c r="V564" s="243"/>
      <c r="W564" s="30"/>
      <c r="X564" s="30"/>
      <c r="Y564" s="30"/>
      <c r="Z564" s="30"/>
      <c r="AA564" s="30"/>
      <c r="AB564" s="30">
        <f t="shared" si="62"/>
        <v>0</v>
      </c>
      <c r="AC564" s="31">
        <v>0.002</v>
      </c>
      <c r="AD564" s="48">
        <f t="shared" si="63"/>
        <v>0.002</v>
      </c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>
        <f t="shared" si="60"/>
        <v>0</v>
      </c>
      <c r="AW564" s="27" t="s">
        <v>659</v>
      </c>
    </row>
    <row r="565" spans="2:49" ht="12.75">
      <c r="B565" s="311" t="s">
        <v>644</v>
      </c>
      <c r="C565" s="309" t="s">
        <v>645</v>
      </c>
      <c r="D565" s="312">
        <v>0.006</v>
      </c>
      <c r="E565" s="267"/>
      <c r="F565" s="269"/>
      <c r="G565" s="9"/>
      <c r="H565" s="83"/>
      <c r="I565" s="12"/>
      <c r="J565" s="12">
        <v>0.003</v>
      </c>
      <c r="K565" s="12">
        <v>0.003</v>
      </c>
      <c r="L565" s="12"/>
      <c r="M565" s="12"/>
      <c r="N565" s="12"/>
      <c r="O565" s="12"/>
      <c r="P565" s="12"/>
      <c r="Q565" s="12"/>
      <c r="R565" s="12"/>
      <c r="S565" s="12"/>
      <c r="T565" s="154">
        <f t="shared" si="61"/>
        <v>0.006</v>
      </c>
      <c r="U565" s="155"/>
      <c r="V565" s="243"/>
      <c r="W565" s="30"/>
      <c r="X565" s="30"/>
      <c r="Y565" s="30"/>
      <c r="Z565" s="30"/>
      <c r="AA565" s="30"/>
      <c r="AB565" s="30">
        <f t="shared" si="62"/>
        <v>0</v>
      </c>
      <c r="AC565" s="31">
        <v>0.006</v>
      </c>
      <c r="AD565" s="48">
        <f t="shared" si="63"/>
        <v>0.006</v>
      </c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>
        <f t="shared" si="60"/>
        <v>0</v>
      </c>
      <c r="AW565" s="27" t="s">
        <v>660</v>
      </c>
    </row>
    <row r="566" spans="2:48" ht="12.75">
      <c r="B566" s="311" t="s">
        <v>646</v>
      </c>
      <c r="C566" s="309" t="s">
        <v>647</v>
      </c>
      <c r="D566" s="312">
        <v>0.036</v>
      </c>
      <c r="E566" s="267"/>
      <c r="F566" s="269"/>
      <c r="G566" s="9">
        <v>0.02</v>
      </c>
      <c r="H566" s="83"/>
      <c r="I566" s="12"/>
      <c r="J566" s="12"/>
      <c r="K566" s="12">
        <v>0.004</v>
      </c>
      <c r="L566" s="12">
        <v>0.004</v>
      </c>
      <c r="M566" s="12">
        <v>0.004</v>
      </c>
      <c r="N566" s="12">
        <v>0.004</v>
      </c>
      <c r="O566" s="12">
        <v>0.004</v>
      </c>
      <c r="P566" s="12">
        <v>0.004</v>
      </c>
      <c r="Q566" s="12">
        <v>0.004</v>
      </c>
      <c r="R566" s="12">
        <v>0.004</v>
      </c>
      <c r="S566" s="12">
        <v>0.004</v>
      </c>
      <c r="T566" s="154">
        <f t="shared" si="61"/>
        <v>0.008</v>
      </c>
      <c r="U566" s="155"/>
      <c r="V566" s="243"/>
      <c r="W566" s="30"/>
      <c r="X566" s="30"/>
      <c r="Y566" s="30"/>
      <c r="Z566" s="30">
        <v>0.036</v>
      </c>
      <c r="AA566" s="30"/>
      <c r="AB566" s="30">
        <f t="shared" si="62"/>
        <v>0</v>
      </c>
      <c r="AC566" s="31"/>
      <c r="AD566" s="48">
        <f t="shared" si="63"/>
        <v>0.036</v>
      </c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>
        <f t="shared" si="60"/>
        <v>0</v>
      </c>
    </row>
    <row r="567" spans="2:49" ht="12.75">
      <c r="B567" s="311" t="s">
        <v>648</v>
      </c>
      <c r="C567" s="309" t="s">
        <v>649</v>
      </c>
      <c r="D567" s="312">
        <v>0.057</v>
      </c>
      <c r="E567" s="267"/>
      <c r="F567" s="269"/>
      <c r="G567" s="9"/>
      <c r="H567" s="83"/>
      <c r="I567" s="12"/>
      <c r="J567" s="12"/>
      <c r="K567" s="12"/>
      <c r="L567" s="12">
        <v>0.007</v>
      </c>
      <c r="M567" s="12">
        <v>0.007</v>
      </c>
      <c r="N567" s="12">
        <v>0.007</v>
      </c>
      <c r="O567" s="12">
        <v>0.007</v>
      </c>
      <c r="P567" s="12">
        <v>0.007</v>
      </c>
      <c r="Q567" s="12">
        <v>0.007</v>
      </c>
      <c r="R567" s="12">
        <v>0.007</v>
      </c>
      <c r="S567" s="12">
        <v>0.007</v>
      </c>
      <c r="T567" s="154">
        <f t="shared" si="61"/>
        <v>0.007</v>
      </c>
      <c r="U567" s="155"/>
      <c r="V567" s="243"/>
      <c r="W567" s="30"/>
      <c r="X567" s="30"/>
      <c r="Y567" s="30"/>
      <c r="Z567" s="30"/>
      <c r="AA567" s="30"/>
      <c r="AB567" s="30">
        <f t="shared" si="62"/>
        <v>0.057</v>
      </c>
      <c r="AC567" s="31"/>
      <c r="AD567" s="48">
        <f t="shared" si="63"/>
        <v>0.057</v>
      </c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>
        <v>0.057</v>
      </c>
      <c r="AV567" s="31">
        <f t="shared" si="60"/>
        <v>0.057</v>
      </c>
      <c r="AW567" s="27" t="s">
        <v>937</v>
      </c>
    </row>
    <row r="568" spans="2:48" ht="12.75">
      <c r="B568" s="311" t="s">
        <v>650</v>
      </c>
      <c r="C568" s="309" t="s">
        <v>651</v>
      </c>
      <c r="D568" s="312">
        <v>0.086</v>
      </c>
      <c r="E568" s="267"/>
      <c r="F568" s="269"/>
      <c r="G568" s="9"/>
      <c r="H568" s="83"/>
      <c r="I568" s="12"/>
      <c r="J568" s="12"/>
      <c r="K568" s="12"/>
      <c r="L568" s="12">
        <v>0.011</v>
      </c>
      <c r="M568" s="12">
        <v>0.011</v>
      </c>
      <c r="N568" s="12">
        <v>0.011</v>
      </c>
      <c r="O568" s="12">
        <v>0.011</v>
      </c>
      <c r="P568" s="12">
        <v>0.011</v>
      </c>
      <c r="Q568" s="12">
        <v>0.011</v>
      </c>
      <c r="R568" s="12">
        <v>0.011</v>
      </c>
      <c r="S568" s="12">
        <v>0.011</v>
      </c>
      <c r="T568" s="154">
        <f t="shared" si="61"/>
        <v>0.011</v>
      </c>
      <c r="U568" s="155"/>
      <c r="V568" s="243"/>
      <c r="W568" s="30"/>
      <c r="X568" s="30"/>
      <c r="Y568" s="30"/>
      <c r="Z568" s="30"/>
      <c r="AA568" s="30"/>
      <c r="AB568" s="30">
        <f t="shared" si="62"/>
        <v>0.086</v>
      </c>
      <c r="AC568" s="31"/>
      <c r="AD568" s="48">
        <f t="shared" si="63"/>
        <v>0.086</v>
      </c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>
        <v>0.086</v>
      </c>
      <c r="AV568" s="31">
        <f t="shared" si="60"/>
        <v>0.086</v>
      </c>
    </row>
    <row r="569" spans="2:49" ht="12.75">
      <c r="B569" s="311" t="s">
        <v>652</v>
      </c>
      <c r="C569" s="309" t="s">
        <v>653</v>
      </c>
      <c r="D569" s="312">
        <v>0.019</v>
      </c>
      <c r="E569" s="267"/>
      <c r="F569" s="269"/>
      <c r="G569" s="9">
        <v>0.021</v>
      </c>
      <c r="H569" s="83">
        <v>0.003</v>
      </c>
      <c r="I569" s="12">
        <v>0.003</v>
      </c>
      <c r="J569" s="12">
        <v>0.003</v>
      </c>
      <c r="K569" s="12">
        <v>0.003</v>
      </c>
      <c r="L569" s="12">
        <v>0.003</v>
      </c>
      <c r="M569" s="12">
        <v>0.003</v>
      </c>
      <c r="N569" s="12"/>
      <c r="O569" s="12"/>
      <c r="P569" s="12"/>
      <c r="Q569" s="12"/>
      <c r="R569" s="12"/>
      <c r="S569" s="12"/>
      <c r="T569" s="154">
        <f t="shared" si="61"/>
        <v>0.015</v>
      </c>
      <c r="U569" s="155"/>
      <c r="V569" s="243"/>
      <c r="W569" s="30"/>
      <c r="X569" s="30"/>
      <c r="Y569" s="30"/>
      <c r="Z569" s="30"/>
      <c r="AA569" s="30"/>
      <c r="AB569" s="30">
        <f t="shared" si="62"/>
        <v>0</v>
      </c>
      <c r="AC569" s="31">
        <v>0.019</v>
      </c>
      <c r="AD569" s="48">
        <f t="shared" si="63"/>
        <v>0.019</v>
      </c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>
        <f t="shared" si="60"/>
        <v>0</v>
      </c>
      <c r="AW569" s="27" t="s">
        <v>661</v>
      </c>
    </row>
    <row r="570" spans="2:49" ht="12.75">
      <c r="B570" s="311" t="s">
        <v>654</v>
      </c>
      <c r="C570" s="309" t="s">
        <v>655</v>
      </c>
      <c r="D570" s="312">
        <v>0.031</v>
      </c>
      <c r="E570" s="267"/>
      <c r="F570" s="269"/>
      <c r="G570" s="9">
        <v>0.01</v>
      </c>
      <c r="H570" s="83">
        <v>0.005</v>
      </c>
      <c r="I570" s="12">
        <v>0.005</v>
      </c>
      <c r="J570" s="12">
        <v>0.005</v>
      </c>
      <c r="K570" s="12">
        <v>0.005</v>
      </c>
      <c r="L570" s="12">
        <v>0.005</v>
      </c>
      <c r="M570" s="12">
        <v>0.005</v>
      </c>
      <c r="N570" s="12"/>
      <c r="O570" s="12"/>
      <c r="P570" s="12"/>
      <c r="Q570" s="12"/>
      <c r="R570" s="12"/>
      <c r="S570" s="12"/>
      <c r="T570" s="154">
        <f t="shared" si="61"/>
        <v>0.025</v>
      </c>
      <c r="U570" s="155"/>
      <c r="V570" s="243"/>
      <c r="W570" s="30"/>
      <c r="X570" s="30"/>
      <c r="Y570" s="30"/>
      <c r="Z570" s="30"/>
      <c r="AA570" s="30"/>
      <c r="AB570" s="30">
        <f t="shared" si="62"/>
        <v>0</v>
      </c>
      <c r="AC570" s="31">
        <v>0.031</v>
      </c>
      <c r="AD570" s="48">
        <f t="shared" si="63"/>
        <v>0.031</v>
      </c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>
        <f t="shared" si="60"/>
        <v>0</v>
      </c>
      <c r="AW570" s="27" t="s">
        <v>662</v>
      </c>
    </row>
    <row r="571" spans="2:48" ht="12.75">
      <c r="B571" s="311" t="s">
        <v>656</v>
      </c>
      <c r="C571" s="309" t="s">
        <v>657</v>
      </c>
      <c r="D571" s="312">
        <f>0.131+0.034</f>
        <v>0.165</v>
      </c>
      <c r="E571" s="267"/>
      <c r="F571" s="269"/>
      <c r="G571" s="9">
        <v>0.112</v>
      </c>
      <c r="H571" s="83"/>
      <c r="I571" s="12"/>
      <c r="J571" s="12"/>
      <c r="K571" s="12">
        <v>0.033</v>
      </c>
      <c r="L571" s="12">
        <v>0.033</v>
      </c>
      <c r="M571" s="12">
        <v>0.033</v>
      </c>
      <c r="N571" s="12">
        <v>0.033</v>
      </c>
      <c r="O571" s="12">
        <v>0.033</v>
      </c>
      <c r="P571" s="12"/>
      <c r="Q571" s="12"/>
      <c r="R571" s="12"/>
      <c r="S571" s="12"/>
      <c r="T571" s="154">
        <f t="shared" si="61"/>
        <v>0.066</v>
      </c>
      <c r="U571" s="155"/>
      <c r="V571" s="243"/>
      <c r="W571" s="30"/>
      <c r="X571" s="30"/>
      <c r="Y571" s="30"/>
      <c r="Z571" s="30"/>
      <c r="AA571" s="30"/>
      <c r="AB571" s="30">
        <f t="shared" si="62"/>
        <v>0.05</v>
      </c>
      <c r="AC571" s="31">
        <f>0.081+0.034</f>
        <v>0.115</v>
      </c>
      <c r="AD571" s="48">
        <f t="shared" si="63"/>
        <v>0.165</v>
      </c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>
        <v>0.05</v>
      </c>
      <c r="AV571" s="31">
        <f t="shared" si="60"/>
        <v>0.05</v>
      </c>
    </row>
    <row r="572" spans="2:48" ht="12.75">
      <c r="B572" s="316" t="s">
        <v>198</v>
      </c>
      <c r="C572" s="317" t="s">
        <v>199</v>
      </c>
      <c r="D572" s="312">
        <v>0.079</v>
      </c>
      <c r="E572" s="267"/>
      <c r="F572" s="269"/>
      <c r="G572" s="9">
        <v>0.015</v>
      </c>
      <c r="H572" s="83"/>
      <c r="I572" s="12"/>
      <c r="J572" s="12"/>
      <c r="K572" s="12"/>
      <c r="L572" s="12">
        <v>0.015</v>
      </c>
      <c r="M572" s="12">
        <v>0.04</v>
      </c>
      <c r="N572" s="12">
        <v>0.022</v>
      </c>
      <c r="O572" s="12"/>
      <c r="P572" s="12"/>
      <c r="Q572" s="12"/>
      <c r="R572" s="12"/>
      <c r="S572" s="12">
        <v>0.002</v>
      </c>
      <c r="T572" s="154">
        <f t="shared" si="61"/>
        <v>0.015</v>
      </c>
      <c r="U572" s="155"/>
      <c r="V572" s="243">
        <v>38537</v>
      </c>
      <c r="W572" s="30"/>
      <c r="X572" s="30"/>
      <c r="Y572" s="30"/>
      <c r="Z572" s="30"/>
      <c r="AA572" s="30"/>
      <c r="AB572" s="30">
        <f t="shared" si="62"/>
        <v>0</v>
      </c>
      <c r="AC572" s="31">
        <v>0.079</v>
      </c>
      <c r="AD572" s="48">
        <f t="shared" si="63"/>
        <v>0.079</v>
      </c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</row>
    <row r="573" spans="2:48" ht="12.75">
      <c r="B573" s="316" t="s">
        <v>663</v>
      </c>
      <c r="C573" s="317" t="s">
        <v>664</v>
      </c>
      <c r="D573" s="312"/>
      <c r="E573" s="267"/>
      <c r="F573" s="269"/>
      <c r="G573" s="9">
        <v>0.002</v>
      </c>
      <c r="H573" s="83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54">
        <f t="shared" si="61"/>
        <v>0</v>
      </c>
      <c r="U573" s="155"/>
      <c r="V573" s="243"/>
      <c r="W573" s="30"/>
      <c r="X573" s="30"/>
      <c r="Y573" s="30"/>
      <c r="Z573" s="30"/>
      <c r="AA573" s="30"/>
      <c r="AB573" s="30">
        <f t="shared" si="62"/>
        <v>0</v>
      </c>
      <c r="AC573" s="31"/>
      <c r="AD573" s="48">
        <f t="shared" si="63"/>
        <v>0</v>
      </c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</row>
    <row r="574" spans="3:48" ht="13.5" thickBot="1">
      <c r="C574" s="46"/>
      <c r="D574" s="5"/>
      <c r="E574" s="267"/>
      <c r="F574" s="269"/>
      <c r="G574" s="9"/>
      <c r="H574" s="83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54"/>
      <c r="U574" s="155"/>
      <c r="V574" s="243"/>
      <c r="W574" s="30"/>
      <c r="X574" s="30"/>
      <c r="Y574" s="30"/>
      <c r="Z574" s="30"/>
      <c r="AA574" s="30"/>
      <c r="AB574" s="30"/>
      <c r="AC574" s="31"/>
      <c r="AD574" s="48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</row>
    <row r="575" spans="3:48" ht="13.5" thickBot="1">
      <c r="C575" s="7" t="s">
        <v>385</v>
      </c>
      <c r="D575" s="19">
        <f>SUM(D543:D574)</f>
        <v>1.305</v>
      </c>
      <c r="E575" s="277"/>
      <c r="F575" s="278"/>
      <c r="G575" s="19">
        <f aca="true" t="shared" si="64" ref="G575:S575">SUM(G543:G574)</f>
        <v>0.7840000000000001</v>
      </c>
      <c r="H575" s="90">
        <f t="shared" si="64"/>
        <v>0.011</v>
      </c>
      <c r="I575" s="90">
        <f t="shared" si="64"/>
        <v>0.008</v>
      </c>
      <c r="J575" s="90">
        <f t="shared" si="64"/>
        <v>0.03</v>
      </c>
      <c r="K575" s="90">
        <f t="shared" si="64"/>
        <v>0.07100000000000001</v>
      </c>
      <c r="L575" s="90">
        <f t="shared" si="64"/>
        <v>0.137</v>
      </c>
      <c r="M575" s="90">
        <f t="shared" si="64"/>
        <v>0.22000000000000003</v>
      </c>
      <c r="N575" s="90">
        <f t="shared" si="64"/>
        <v>0.21100000000000002</v>
      </c>
      <c r="O575" s="90">
        <f t="shared" si="64"/>
        <v>0.167</v>
      </c>
      <c r="P575" s="90">
        <f t="shared" si="64"/>
        <v>0.14200000000000002</v>
      </c>
      <c r="Q575" s="90">
        <f t="shared" si="64"/>
        <v>0.108</v>
      </c>
      <c r="R575" s="90">
        <f t="shared" si="64"/>
        <v>0.101</v>
      </c>
      <c r="S575" s="90">
        <f t="shared" si="64"/>
        <v>0.10500000000000001</v>
      </c>
      <c r="T575" s="19">
        <f>SUM(T543:T571)</f>
        <v>0.24200000000000002</v>
      </c>
      <c r="U575" s="46"/>
      <c r="V575" s="243"/>
      <c r="W575" s="19">
        <f>SUM(W543:W571)</f>
        <v>0.151</v>
      </c>
      <c r="X575" s="19">
        <f>SUM(X543:X571)</f>
        <v>0.09</v>
      </c>
      <c r="Y575" s="19">
        <f aca="true" t="shared" si="65" ref="Y575:AV575">SUM(Y543:Y571)</f>
        <v>0</v>
      </c>
      <c r="Z575" s="19">
        <f t="shared" si="65"/>
        <v>0.036</v>
      </c>
      <c r="AA575" s="19">
        <f>SUM(AA543:AA571)</f>
        <v>0.376</v>
      </c>
      <c r="AB575" s="19">
        <f t="shared" si="65"/>
        <v>0.37799999999999995</v>
      </c>
      <c r="AC575" s="19">
        <f>SUM(AC543:AC574)</f>
        <v>0.274</v>
      </c>
      <c r="AD575" s="19">
        <f>SUM(AD543:AD574)</f>
        <v>1.305</v>
      </c>
      <c r="AF575" s="19">
        <f t="shared" si="65"/>
        <v>0</v>
      </c>
      <c r="AG575" s="19">
        <f t="shared" si="65"/>
        <v>0</v>
      </c>
      <c r="AH575" s="19">
        <f t="shared" si="65"/>
        <v>0</v>
      </c>
      <c r="AI575" s="19">
        <f t="shared" si="65"/>
        <v>0</v>
      </c>
      <c r="AJ575" s="19">
        <f t="shared" si="65"/>
        <v>0</v>
      </c>
      <c r="AK575" s="19">
        <f t="shared" si="65"/>
        <v>0</v>
      </c>
      <c r="AL575" s="19">
        <f t="shared" si="65"/>
        <v>0</v>
      </c>
      <c r="AM575" s="19">
        <f t="shared" si="65"/>
        <v>0</v>
      </c>
      <c r="AN575" s="19">
        <f t="shared" si="65"/>
        <v>0</v>
      </c>
      <c r="AO575" s="19">
        <f t="shared" si="65"/>
        <v>0</v>
      </c>
      <c r="AP575" s="19">
        <f t="shared" si="65"/>
        <v>0</v>
      </c>
      <c r="AQ575" s="19">
        <f t="shared" si="65"/>
        <v>0</v>
      </c>
      <c r="AR575" s="19">
        <f t="shared" si="65"/>
        <v>0</v>
      </c>
      <c r="AS575" s="19">
        <f t="shared" si="65"/>
        <v>0</v>
      </c>
      <c r="AT575" s="19">
        <f t="shared" si="65"/>
        <v>0</v>
      </c>
      <c r="AU575" s="19">
        <f t="shared" si="65"/>
        <v>0.37799999999999995</v>
      </c>
      <c r="AV575" s="19">
        <f t="shared" si="65"/>
        <v>0.37799999999999995</v>
      </c>
    </row>
    <row r="576" spans="3:48" ht="12.75">
      <c r="C576" s="7"/>
      <c r="D576" s="7"/>
      <c r="E576" s="285"/>
      <c r="F576" s="286"/>
      <c r="G576" s="333"/>
      <c r="H576" s="83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98"/>
      <c r="U576" s="83"/>
      <c r="V576" s="243"/>
      <c r="W576" s="30"/>
      <c r="X576" s="30"/>
      <c r="Y576" s="30"/>
      <c r="Z576" s="30"/>
      <c r="AA576" s="30"/>
      <c r="AB576" s="30"/>
      <c r="AC576" s="31"/>
      <c r="AD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</row>
    <row r="577" spans="3:48" ht="12.75">
      <c r="C577" s="7" t="s">
        <v>815</v>
      </c>
      <c r="D577" s="7"/>
      <c r="E577" s="285"/>
      <c r="F577" s="286"/>
      <c r="G577" s="333"/>
      <c r="H577" s="83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9"/>
      <c r="U577" s="83"/>
      <c r="V577" s="243"/>
      <c r="W577" s="30"/>
      <c r="X577" s="30"/>
      <c r="Y577" s="30"/>
      <c r="Z577" s="30"/>
      <c r="AA577" s="30"/>
      <c r="AB577" s="30"/>
      <c r="AC577" s="31"/>
      <c r="AD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</row>
    <row r="578" spans="2:49" ht="12.75">
      <c r="B578" s="27" t="s">
        <v>493</v>
      </c>
      <c r="C578" s="45" t="s">
        <v>850</v>
      </c>
      <c r="D578" s="175">
        <v>0.111</v>
      </c>
      <c r="E578" s="279"/>
      <c r="F578" s="280"/>
      <c r="G578" s="9">
        <v>0.002</v>
      </c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54">
        <f>D578/12*5</f>
        <v>0.04625</v>
      </c>
      <c r="U578" s="155"/>
      <c r="V578" s="243"/>
      <c r="W578" s="30"/>
      <c r="X578" s="30"/>
      <c r="Y578" s="30"/>
      <c r="Z578" s="30"/>
      <c r="AA578" s="30">
        <v>0.097</v>
      </c>
      <c r="AB578" s="30">
        <f>SUM(AF578:AU578)</f>
        <v>0</v>
      </c>
      <c r="AC578" s="31">
        <v>0.014</v>
      </c>
      <c r="AD578" s="31">
        <f aca="true" t="shared" si="66" ref="AD578:AD602">SUM(W578:AC578)</f>
        <v>0.111</v>
      </c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>
        <f>SUM(AF578:AU578)</f>
        <v>0</v>
      </c>
      <c r="AW578" s="27" t="s">
        <v>415</v>
      </c>
    </row>
    <row r="579" spans="2:49" ht="12.75">
      <c r="B579" s="27" t="s">
        <v>494</v>
      </c>
      <c r="C579" s="5" t="s">
        <v>868</v>
      </c>
      <c r="D579" s="9">
        <v>0.026</v>
      </c>
      <c r="E579" s="279"/>
      <c r="F579" s="280"/>
      <c r="G579" s="9">
        <v>0.011</v>
      </c>
      <c r="H579" s="83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54">
        <f aca="true" t="shared" si="67" ref="T579:T601">D579/12*5</f>
        <v>0.010833333333333334</v>
      </c>
      <c r="U579" s="155"/>
      <c r="V579" s="243">
        <v>38481</v>
      </c>
      <c r="W579" s="164"/>
      <c r="X579" s="30"/>
      <c r="Y579" s="30"/>
      <c r="Z579" s="30"/>
      <c r="AA579" s="6">
        <v>0.02</v>
      </c>
      <c r="AB579" s="30">
        <f aca="true" t="shared" si="68" ref="AB579:AB602">SUM(AF579:AU579)</f>
        <v>0.006</v>
      </c>
      <c r="AD579" s="31">
        <f t="shared" si="66"/>
        <v>0.026000000000000002</v>
      </c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>
        <v>0.006</v>
      </c>
      <c r="AV579" s="31">
        <f aca="true" t="shared" si="69" ref="AV579:AV602">SUM(AF579:AU579)</f>
        <v>0.006</v>
      </c>
      <c r="AW579" s="27" t="s">
        <v>412</v>
      </c>
    </row>
    <row r="580" spans="2:48" ht="12.75">
      <c r="B580" s="27" t="s">
        <v>212</v>
      </c>
      <c r="C580" s="5" t="s">
        <v>213</v>
      </c>
      <c r="D580" s="12">
        <v>0.017</v>
      </c>
      <c r="E580" s="279"/>
      <c r="F580" s="280"/>
      <c r="G580" s="9">
        <v>0.014</v>
      </c>
      <c r="H580" s="83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54">
        <f t="shared" si="67"/>
        <v>0.007083333333333334</v>
      </c>
      <c r="U580" s="155"/>
      <c r="V580" s="243"/>
      <c r="W580" s="164"/>
      <c r="X580" s="30"/>
      <c r="Y580" s="30"/>
      <c r="Z580" s="30"/>
      <c r="AA580" s="6">
        <v>0.017</v>
      </c>
      <c r="AB580" s="30">
        <f t="shared" si="68"/>
        <v>0</v>
      </c>
      <c r="AD580" s="31">
        <f t="shared" si="66"/>
        <v>0.017</v>
      </c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>
        <f t="shared" si="69"/>
        <v>0</v>
      </c>
    </row>
    <row r="581" spans="2:49" ht="12.75">
      <c r="B581" s="27" t="s">
        <v>214</v>
      </c>
      <c r="C581" s="5" t="s">
        <v>215</v>
      </c>
      <c r="D581" s="12">
        <f>0.27+0.002</f>
        <v>0.272</v>
      </c>
      <c r="E581" s="143"/>
      <c r="F581" s="143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54">
        <f t="shared" si="67"/>
        <v>0.11333333333333334</v>
      </c>
      <c r="U581" s="155"/>
      <c r="V581" s="243"/>
      <c r="W581" s="164"/>
      <c r="X581" s="30"/>
      <c r="Y581" s="30"/>
      <c r="Z581" s="30"/>
      <c r="AA581" s="6">
        <f>0.1+0.034</f>
        <v>0.134</v>
      </c>
      <c r="AB581" s="30">
        <f t="shared" si="68"/>
        <v>0</v>
      </c>
      <c r="AC581" s="27">
        <f>0.17-0.032</f>
        <v>0.138</v>
      </c>
      <c r="AD581" s="31">
        <f t="shared" si="66"/>
        <v>0.272</v>
      </c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>
        <f t="shared" si="69"/>
        <v>0</v>
      </c>
      <c r="AW581" s="27" t="s">
        <v>413</v>
      </c>
    </row>
    <row r="582" spans="2:48" ht="12.75">
      <c r="B582" s="27" t="s">
        <v>216</v>
      </c>
      <c r="C582" s="5" t="s">
        <v>192</v>
      </c>
      <c r="D582" s="9">
        <v>0.101</v>
      </c>
      <c r="E582" s="279"/>
      <c r="F582" s="280"/>
      <c r="G582" s="9"/>
      <c r="H582" s="83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54">
        <f t="shared" si="67"/>
        <v>0.04208333333333334</v>
      </c>
      <c r="U582" s="155"/>
      <c r="V582" s="243">
        <v>38379</v>
      </c>
      <c r="W582" s="164"/>
      <c r="X582" s="30"/>
      <c r="Y582" s="30"/>
      <c r="Z582" s="30">
        <v>0.003</v>
      </c>
      <c r="AB582" s="30">
        <f t="shared" si="68"/>
        <v>0.098</v>
      </c>
      <c r="AD582" s="31">
        <f t="shared" si="66"/>
        <v>0.101</v>
      </c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>
        <v>0.098</v>
      </c>
      <c r="AR582" s="31"/>
      <c r="AS582" s="31"/>
      <c r="AT582" s="31"/>
      <c r="AU582" s="31"/>
      <c r="AV582" s="31">
        <f t="shared" si="69"/>
        <v>0.098</v>
      </c>
    </row>
    <row r="583" spans="2:48" ht="12.75">
      <c r="B583" s="27" t="s">
        <v>262</v>
      </c>
      <c r="C583" s="5" t="s">
        <v>217</v>
      </c>
      <c r="D583" s="12">
        <v>0.066</v>
      </c>
      <c r="E583" s="279"/>
      <c r="F583" s="280"/>
      <c r="G583" s="9">
        <v>0.16</v>
      </c>
      <c r="H583" s="83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54">
        <f t="shared" si="67"/>
        <v>0.027500000000000004</v>
      </c>
      <c r="U583" s="155"/>
      <c r="V583" s="243"/>
      <c r="W583" s="164"/>
      <c r="X583" s="30"/>
      <c r="Y583" s="30"/>
      <c r="Z583" s="30"/>
      <c r="AB583" s="30">
        <f t="shared" si="68"/>
        <v>0.066</v>
      </c>
      <c r="AD583" s="31">
        <f t="shared" si="66"/>
        <v>0.066</v>
      </c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>
        <v>0.066</v>
      </c>
      <c r="AR583" s="31"/>
      <c r="AS583" s="31"/>
      <c r="AT583" s="31"/>
      <c r="AU583" s="31"/>
      <c r="AV583" s="31">
        <f t="shared" si="69"/>
        <v>0.066</v>
      </c>
    </row>
    <row r="584" spans="2:48" ht="12.75">
      <c r="B584" s="27" t="s">
        <v>262</v>
      </c>
      <c r="C584" s="186" t="s">
        <v>572</v>
      </c>
      <c r="D584" s="323">
        <v>0.098</v>
      </c>
      <c r="E584" s="279"/>
      <c r="F584" s="280"/>
      <c r="G584" s="9"/>
      <c r="H584" s="83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54">
        <f t="shared" si="67"/>
        <v>0.04083333333333334</v>
      </c>
      <c r="U584" s="155"/>
      <c r="V584" s="243"/>
      <c r="W584" s="164"/>
      <c r="X584" s="30"/>
      <c r="Y584" s="30"/>
      <c r="Z584" s="30"/>
      <c r="AB584" s="30">
        <f t="shared" si="68"/>
        <v>0.098</v>
      </c>
      <c r="AC584" s="200"/>
      <c r="AD584" s="31">
        <f t="shared" si="66"/>
        <v>0.098</v>
      </c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>
        <v>0.098</v>
      </c>
      <c r="AR584" s="31"/>
      <c r="AS584" s="31"/>
      <c r="AT584" s="31"/>
      <c r="AU584" s="31"/>
      <c r="AV584" s="31">
        <f t="shared" si="69"/>
        <v>0.098</v>
      </c>
    </row>
    <row r="585" spans="2:48" ht="12.75">
      <c r="B585" s="27" t="s">
        <v>262</v>
      </c>
      <c r="C585" s="5" t="s">
        <v>218</v>
      </c>
      <c r="D585" s="12">
        <v>0.047</v>
      </c>
      <c r="E585" s="279"/>
      <c r="F585" s="280"/>
      <c r="G585" s="9"/>
      <c r="H585" s="83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54">
        <f>D585/12*5</f>
        <v>0.01958333333333333</v>
      </c>
      <c r="U585" s="155"/>
      <c r="V585" s="243"/>
      <c r="W585" s="164"/>
      <c r="X585" s="30"/>
      <c r="Y585" s="30"/>
      <c r="Z585" s="30"/>
      <c r="AB585" s="30">
        <f t="shared" si="68"/>
        <v>0.047</v>
      </c>
      <c r="AD585" s="31">
        <f t="shared" si="66"/>
        <v>0.047</v>
      </c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>
        <v>0.047</v>
      </c>
      <c r="AR585" s="31"/>
      <c r="AS585" s="31"/>
      <c r="AT585" s="31"/>
      <c r="AU585" s="31"/>
      <c r="AV585" s="31">
        <f t="shared" si="69"/>
        <v>0.047</v>
      </c>
    </row>
    <row r="586" spans="2:48" ht="12.75">
      <c r="B586" s="27" t="s">
        <v>262</v>
      </c>
      <c r="C586" s="186" t="s">
        <v>573</v>
      </c>
      <c r="D586" s="323">
        <v>0.129</v>
      </c>
      <c r="E586" s="279"/>
      <c r="F586" s="280"/>
      <c r="G586" s="9"/>
      <c r="H586" s="83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54">
        <f>D586/12*5</f>
        <v>0.053750000000000006</v>
      </c>
      <c r="U586" s="155"/>
      <c r="V586" s="243"/>
      <c r="W586" s="164"/>
      <c r="X586" s="30"/>
      <c r="Y586" s="30"/>
      <c r="Z586" s="30"/>
      <c r="AB586" s="30">
        <f t="shared" si="68"/>
        <v>0.129</v>
      </c>
      <c r="AC586" s="200"/>
      <c r="AD586" s="31">
        <f t="shared" si="66"/>
        <v>0.129</v>
      </c>
      <c r="AF586" s="31"/>
      <c r="AG586" s="31"/>
      <c r="AH586" s="31"/>
      <c r="AI586" s="31">
        <v>0.085</v>
      </c>
      <c r="AJ586" s="31"/>
      <c r="AK586" s="31"/>
      <c r="AL586" s="31"/>
      <c r="AM586" s="31"/>
      <c r="AN586" s="31"/>
      <c r="AO586" s="31"/>
      <c r="AP586" s="31"/>
      <c r="AQ586" s="31">
        <v>0.044</v>
      </c>
      <c r="AR586" s="31"/>
      <c r="AS586" s="31"/>
      <c r="AT586" s="31"/>
      <c r="AU586" s="31"/>
      <c r="AV586" s="31">
        <f t="shared" si="69"/>
        <v>0.129</v>
      </c>
    </row>
    <row r="587" spans="2:48" ht="12.75">
      <c r="B587" s="27" t="s">
        <v>263</v>
      </c>
      <c r="C587" s="186" t="s">
        <v>219</v>
      </c>
      <c r="D587" s="323">
        <v>0.104</v>
      </c>
      <c r="E587" s="279"/>
      <c r="F587" s="280"/>
      <c r="G587" s="9">
        <v>0.094</v>
      </c>
      <c r="H587" s="83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54">
        <f t="shared" si="67"/>
        <v>0.043333333333333335</v>
      </c>
      <c r="U587" s="155"/>
      <c r="V587" s="243"/>
      <c r="W587" s="164"/>
      <c r="X587" s="30"/>
      <c r="Y587" s="30"/>
      <c r="Z587" s="30"/>
      <c r="AB587" s="30">
        <f t="shared" si="68"/>
        <v>0.104</v>
      </c>
      <c r="AC587" s="200"/>
      <c r="AD587" s="31">
        <f t="shared" si="66"/>
        <v>0.104</v>
      </c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>
        <v>0.104</v>
      </c>
      <c r="AR587" s="31"/>
      <c r="AS587" s="31"/>
      <c r="AT587" s="31"/>
      <c r="AU587" s="31"/>
      <c r="AV587" s="31">
        <f t="shared" si="69"/>
        <v>0.104</v>
      </c>
    </row>
    <row r="588" spans="2:49" ht="12.75">
      <c r="B588" s="27" t="s">
        <v>498</v>
      </c>
      <c r="C588" s="186" t="s">
        <v>220</v>
      </c>
      <c r="D588" s="323">
        <v>0.093</v>
      </c>
      <c r="E588" s="143"/>
      <c r="F588" s="143"/>
      <c r="G588" s="9">
        <v>0.076</v>
      </c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54">
        <f t="shared" si="67"/>
        <v>0.03875</v>
      </c>
      <c r="U588" s="155"/>
      <c r="V588" s="243"/>
      <c r="W588" s="164"/>
      <c r="X588" s="30"/>
      <c r="Y588" s="30"/>
      <c r="Z588" s="30"/>
      <c r="AB588" s="30">
        <f t="shared" si="68"/>
        <v>0.077</v>
      </c>
      <c r="AC588" s="200">
        <v>0.016</v>
      </c>
      <c r="AD588" s="31">
        <f t="shared" si="66"/>
        <v>0.093</v>
      </c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>
        <v>0.077</v>
      </c>
      <c r="AR588" s="31"/>
      <c r="AS588" s="31"/>
      <c r="AT588" s="31"/>
      <c r="AU588" s="31"/>
      <c r="AV588" s="31">
        <f t="shared" si="69"/>
        <v>0.077</v>
      </c>
      <c r="AW588" s="27" t="s">
        <v>414</v>
      </c>
    </row>
    <row r="589" spans="2:49" ht="12.75">
      <c r="B589" s="27" t="s">
        <v>221</v>
      </c>
      <c r="C589" s="174" t="s">
        <v>222</v>
      </c>
      <c r="D589" s="323">
        <v>0.024</v>
      </c>
      <c r="E589" s="143"/>
      <c r="F589" s="143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54">
        <f t="shared" si="67"/>
        <v>0.01</v>
      </c>
      <c r="U589" s="155"/>
      <c r="V589" s="243"/>
      <c r="W589" s="164"/>
      <c r="X589" s="30"/>
      <c r="Y589" s="30"/>
      <c r="Z589" s="30"/>
      <c r="AB589" s="30">
        <f t="shared" si="68"/>
        <v>0</v>
      </c>
      <c r="AC589" s="200">
        <v>0.024</v>
      </c>
      <c r="AD589" s="31">
        <f t="shared" si="66"/>
        <v>0.024</v>
      </c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>
        <f t="shared" si="69"/>
        <v>0</v>
      </c>
      <c r="AW589" s="27" t="s">
        <v>935</v>
      </c>
    </row>
    <row r="590" spans="2:49" ht="12.75">
      <c r="B590" s="27" t="s">
        <v>495</v>
      </c>
      <c r="C590" s="174" t="s">
        <v>223</v>
      </c>
      <c r="D590" s="323">
        <v>0.04</v>
      </c>
      <c r="E590" s="279"/>
      <c r="F590" s="280"/>
      <c r="G590" s="9">
        <v>0.04</v>
      </c>
      <c r="H590" s="83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54">
        <f t="shared" si="67"/>
        <v>0.016666666666666666</v>
      </c>
      <c r="U590" s="155"/>
      <c r="V590" s="243"/>
      <c r="W590" s="164"/>
      <c r="X590" s="30"/>
      <c r="Y590" s="30"/>
      <c r="Z590" s="30"/>
      <c r="AB590" s="30">
        <f t="shared" si="68"/>
        <v>0</v>
      </c>
      <c r="AC590" s="200">
        <v>0.04</v>
      </c>
      <c r="AD590" s="31">
        <f t="shared" si="66"/>
        <v>0.04</v>
      </c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>
        <f t="shared" si="69"/>
        <v>0</v>
      </c>
      <c r="AW590" s="27" t="s">
        <v>935</v>
      </c>
    </row>
    <row r="591" spans="2:49" ht="12.75">
      <c r="B591" s="27" t="s">
        <v>261</v>
      </c>
      <c r="C591" s="174" t="s">
        <v>224</v>
      </c>
      <c r="D591" s="323">
        <v>0.024</v>
      </c>
      <c r="G591" s="5">
        <v>0.024</v>
      </c>
      <c r="T591" s="154">
        <f t="shared" si="67"/>
        <v>0.01</v>
      </c>
      <c r="U591" s="155"/>
      <c r="V591" s="243"/>
      <c r="W591" s="164"/>
      <c r="X591" s="30"/>
      <c r="Y591" s="30"/>
      <c r="Z591" s="30"/>
      <c r="AB591" s="30">
        <f t="shared" si="68"/>
        <v>0</v>
      </c>
      <c r="AC591" s="200">
        <v>0.024</v>
      </c>
      <c r="AD591" s="31">
        <f t="shared" si="66"/>
        <v>0.024</v>
      </c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>
        <f t="shared" si="69"/>
        <v>0</v>
      </c>
      <c r="AW591" s="27" t="s">
        <v>935</v>
      </c>
    </row>
    <row r="592" spans="2:48" ht="12.75">
      <c r="B592" s="27" t="s">
        <v>225</v>
      </c>
      <c r="C592" s="45" t="s">
        <v>226</v>
      </c>
      <c r="D592" s="174">
        <v>0.059</v>
      </c>
      <c r="E592" s="279"/>
      <c r="F592" s="280"/>
      <c r="G592" s="9"/>
      <c r="H592" s="83"/>
      <c r="I592" s="12"/>
      <c r="J592" s="12"/>
      <c r="K592" s="12"/>
      <c r="L592" s="12"/>
      <c r="M592" s="12"/>
      <c r="O592" s="12"/>
      <c r="P592" s="12"/>
      <c r="Q592" s="12"/>
      <c r="R592" s="12"/>
      <c r="S592" s="12"/>
      <c r="T592" s="154">
        <f t="shared" si="67"/>
        <v>0.024583333333333332</v>
      </c>
      <c r="U592" s="155"/>
      <c r="W592" s="30"/>
      <c r="X592" s="30"/>
      <c r="Y592" s="30"/>
      <c r="Z592" s="30"/>
      <c r="AA592" s="30">
        <v>0.059</v>
      </c>
      <c r="AB592" s="30">
        <f t="shared" si="68"/>
        <v>0</v>
      </c>
      <c r="AC592" s="31"/>
      <c r="AD592" s="31">
        <f t="shared" si="66"/>
        <v>0.059</v>
      </c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>
        <f t="shared" si="69"/>
        <v>0</v>
      </c>
    </row>
    <row r="593" spans="2:48" ht="12.75">
      <c r="B593" s="27" t="s">
        <v>496</v>
      </c>
      <c r="C593" s="45" t="s">
        <v>822</v>
      </c>
      <c r="D593" s="174">
        <v>0.184</v>
      </c>
      <c r="E593" s="279"/>
      <c r="F593" s="280"/>
      <c r="G593" s="9">
        <v>0.008</v>
      </c>
      <c r="H593" s="83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54">
        <f t="shared" si="67"/>
        <v>0.07666666666666666</v>
      </c>
      <c r="U593" s="155"/>
      <c r="V593" s="243"/>
      <c r="W593" s="30"/>
      <c r="X593" s="30"/>
      <c r="Y593" s="30"/>
      <c r="Z593" s="30"/>
      <c r="AA593" s="30">
        <v>0.184</v>
      </c>
      <c r="AB593" s="30">
        <f t="shared" si="68"/>
        <v>0</v>
      </c>
      <c r="AC593" s="31"/>
      <c r="AD593" s="31">
        <f t="shared" si="66"/>
        <v>0.184</v>
      </c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V593" s="31">
        <f t="shared" si="69"/>
        <v>0</v>
      </c>
    </row>
    <row r="594" spans="2:48" ht="12.75">
      <c r="B594" s="27" t="s">
        <v>499</v>
      </c>
      <c r="C594" s="174" t="s">
        <v>227</v>
      </c>
      <c r="D594" s="324">
        <v>0.055</v>
      </c>
      <c r="E594" s="279"/>
      <c r="F594" s="280"/>
      <c r="G594" s="9">
        <v>0.002</v>
      </c>
      <c r="H594" s="83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54">
        <f t="shared" si="67"/>
        <v>0.02291666666666667</v>
      </c>
      <c r="U594" s="155"/>
      <c r="V594" s="243"/>
      <c r="W594"/>
      <c r="X594"/>
      <c r="Y594"/>
      <c r="Z594"/>
      <c r="AA594">
        <v>0.055</v>
      </c>
      <c r="AB594" s="30">
        <f t="shared" si="68"/>
        <v>0</v>
      </c>
      <c r="AC594"/>
      <c r="AD594" s="31">
        <f t="shared" si="66"/>
        <v>0.055</v>
      </c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>
        <f t="shared" si="69"/>
        <v>0</v>
      </c>
    </row>
    <row r="595" spans="2:48" ht="12.75">
      <c r="B595" s="27" t="s">
        <v>497</v>
      </c>
      <c r="C595" s="45" t="s">
        <v>892</v>
      </c>
      <c r="D595" s="175">
        <v>0.025</v>
      </c>
      <c r="E595" s="279"/>
      <c r="F595" s="280"/>
      <c r="G595" s="9">
        <v>0.021</v>
      </c>
      <c r="H595" s="83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54">
        <f t="shared" si="67"/>
        <v>0.010416666666666666</v>
      </c>
      <c r="U595" s="155"/>
      <c r="V595" s="243"/>
      <c r="W595" s="30"/>
      <c r="X595" s="30"/>
      <c r="Y595" s="30"/>
      <c r="Z595" s="30"/>
      <c r="AA595" s="30">
        <v>0.025</v>
      </c>
      <c r="AB595" s="30">
        <f t="shared" si="68"/>
        <v>0</v>
      </c>
      <c r="AC595" s="31"/>
      <c r="AD595" s="31">
        <f t="shared" si="66"/>
        <v>0.025</v>
      </c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>
        <f t="shared" si="69"/>
        <v>0</v>
      </c>
    </row>
    <row r="596" spans="2:48" ht="12.75">
      <c r="B596" s="27" t="s">
        <v>228</v>
      </c>
      <c r="C596" s="186" t="s">
        <v>232</v>
      </c>
      <c r="D596" s="323">
        <v>0.005</v>
      </c>
      <c r="E596" s="279"/>
      <c r="F596" s="280"/>
      <c r="G596" s="9"/>
      <c r="H596" s="83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54">
        <f t="shared" si="67"/>
        <v>0.0020833333333333333</v>
      </c>
      <c r="U596" s="155"/>
      <c r="V596" s="243"/>
      <c r="W596" s="164"/>
      <c r="X596" s="30">
        <v>0.005</v>
      </c>
      <c r="Y596" s="30"/>
      <c r="Z596" s="30"/>
      <c r="AB596" s="30">
        <f t="shared" si="68"/>
        <v>0</v>
      </c>
      <c r="AD596" s="31">
        <f t="shared" si="66"/>
        <v>0.005</v>
      </c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>
        <f t="shared" si="69"/>
        <v>0</v>
      </c>
    </row>
    <row r="597" spans="2:48" ht="12.75">
      <c r="B597" s="27" t="s">
        <v>233</v>
      </c>
      <c r="C597" s="5" t="s">
        <v>881</v>
      </c>
      <c r="D597" s="9">
        <v>0.095</v>
      </c>
      <c r="E597" s="279"/>
      <c r="F597" s="280"/>
      <c r="G597" s="9"/>
      <c r="H597" s="83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54">
        <f t="shared" si="67"/>
        <v>0.03958333333333334</v>
      </c>
      <c r="U597" s="155"/>
      <c r="V597" s="243"/>
      <c r="W597" s="164"/>
      <c r="X597" s="30"/>
      <c r="Y597" s="30"/>
      <c r="Z597" s="30"/>
      <c r="AB597" s="30">
        <f t="shared" si="68"/>
        <v>0.095</v>
      </c>
      <c r="AD597" s="31">
        <f t="shared" si="66"/>
        <v>0.095</v>
      </c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>
        <v>0.095</v>
      </c>
      <c r="AV597" s="31">
        <f t="shared" si="69"/>
        <v>0.095</v>
      </c>
    </row>
    <row r="598" spans="2:48" ht="12.75">
      <c r="B598" s="27" t="s">
        <v>1240</v>
      </c>
      <c r="C598" s="5" t="s">
        <v>1239</v>
      </c>
      <c r="D598" s="9"/>
      <c r="E598" s="279"/>
      <c r="F598" s="280"/>
      <c r="G598" s="9">
        <v>0.002</v>
      </c>
      <c r="H598" s="83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54">
        <f t="shared" si="67"/>
        <v>0</v>
      </c>
      <c r="U598" s="155"/>
      <c r="V598" s="243"/>
      <c r="W598" s="164"/>
      <c r="X598" s="30"/>
      <c r="Y598" s="30"/>
      <c r="Z598" s="30"/>
      <c r="AB598" s="30">
        <f t="shared" si="68"/>
        <v>0</v>
      </c>
      <c r="AD598" s="31">
        <f t="shared" si="66"/>
        <v>0</v>
      </c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>
        <f t="shared" si="69"/>
        <v>0</v>
      </c>
    </row>
    <row r="599" spans="2:48" ht="12.75">
      <c r="B599" s="27" t="s">
        <v>1241</v>
      </c>
      <c r="C599" s="5" t="s">
        <v>1242</v>
      </c>
      <c r="D599" s="9"/>
      <c r="E599" s="279"/>
      <c r="F599" s="280"/>
      <c r="G599" s="9">
        <v>0.013</v>
      </c>
      <c r="H599" s="83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54">
        <f t="shared" si="67"/>
        <v>0</v>
      </c>
      <c r="U599" s="155"/>
      <c r="V599" s="243"/>
      <c r="W599" s="164"/>
      <c r="X599" s="30"/>
      <c r="Y599" s="30"/>
      <c r="Z599" s="30"/>
      <c r="AB599" s="30">
        <f t="shared" si="68"/>
        <v>0</v>
      </c>
      <c r="AD599" s="31">
        <f t="shared" si="66"/>
        <v>0</v>
      </c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>
        <f t="shared" si="69"/>
        <v>0</v>
      </c>
    </row>
    <row r="600" spans="2:48" ht="12.75">
      <c r="B600" s="27" t="s">
        <v>234</v>
      </c>
      <c r="C600" s="5" t="s">
        <v>882</v>
      </c>
      <c r="D600" s="9">
        <v>0.03</v>
      </c>
      <c r="E600" s="279"/>
      <c r="F600" s="280"/>
      <c r="G600" s="9"/>
      <c r="H600" s="83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54">
        <f t="shared" si="67"/>
        <v>0.0125</v>
      </c>
      <c r="U600" s="155"/>
      <c r="V600" s="243"/>
      <c r="W600" s="164"/>
      <c r="X600" s="30"/>
      <c r="Y600" s="30">
        <v>0.03</v>
      </c>
      <c r="Z600" s="30"/>
      <c r="AB600" s="30">
        <f t="shared" si="68"/>
        <v>0</v>
      </c>
      <c r="AC600" s="200"/>
      <c r="AD600" s="31">
        <f t="shared" si="66"/>
        <v>0.03</v>
      </c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>
        <f t="shared" si="69"/>
        <v>0</v>
      </c>
    </row>
    <row r="601" spans="2:49" ht="12.75">
      <c r="B601" s="27" t="s">
        <v>577</v>
      </c>
      <c r="C601" s="5" t="s">
        <v>576</v>
      </c>
      <c r="D601" s="9">
        <v>0.269</v>
      </c>
      <c r="E601" s="279"/>
      <c r="F601" s="280"/>
      <c r="G601" s="9">
        <v>0.006</v>
      </c>
      <c r="H601" s="83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54">
        <f t="shared" si="67"/>
        <v>0.11208333333333334</v>
      </c>
      <c r="U601" s="155"/>
      <c r="V601" s="243"/>
      <c r="W601" s="164"/>
      <c r="X601" s="164"/>
      <c r="Y601" s="164"/>
      <c r="Z601" s="164">
        <v>0.017</v>
      </c>
      <c r="AB601" s="30">
        <f t="shared" si="68"/>
        <v>0.122</v>
      </c>
      <c r="AC601" s="200">
        <v>0.13</v>
      </c>
      <c r="AD601" s="31">
        <f t="shared" si="66"/>
        <v>0.269</v>
      </c>
      <c r="AQ601" s="31">
        <v>0.122</v>
      </c>
      <c r="AR601" s="31"/>
      <c r="AS601" s="31"/>
      <c r="AT601" s="31"/>
      <c r="AV601" s="31">
        <f t="shared" si="69"/>
        <v>0.122</v>
      </c>
      <c r="AW601" s="27" t="s">
        <v>411</v>
      </c>
    </row>
    <row r="602" spans="3:48" ht="13.5" thickBot="1">
      <c r="C602" s="5"/>
      <c r="D602" s="9"/>
      <c r="E602" s="279"/>
      <c r="F602" s="280"/>
      <c r="G602" s="9"/>
      <c r="H602" s="83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54"/>
      <c r="U602" s="155"/>
      <c r="V602" s="243"/>
      <c r="W602" s="164"/>
      <c r="X602" s="164"/>
      <c r="Y602" s="164"/>
      <c r="Z602" s="164"/>
      <c r="AB602" s="30">
        <f t="shared" si="68"/>
        <v>0</v>
      </c>
      <c r="AC602" s="200"/>
      <c r="AD602" s="31">
        <f t="shared" si="66"/>
        <v>0</v>
      </c>
      <c r="AQ602" s="132"/>
      <c r="AR602" s="132"/>
      <c r="AS602" s="132"/>
      <c r="AT602" s="132"/>
      <c r="AV602" s="31">
        <f t="shared" si="69"/>
        <v>0</v>
      </c>
    </row>
    <row r="603" spans="3:48" ht="13.5" thickBot="1">
      <c r="C603" s="7" t="s">
        <v>851</v>
      </c>
      <c r="D603" s="19">
        <f>SUM(D578:D601)</f>
        <v>1.8739999999999997</v>
      </c>
      <c r="E603" s="277"/>
      <c r="F603" s="278"/>
      <c r="G603" s="19">
        <f>SUM(G578:G601)</f>
        <v>0.4730000000000001</v>
      </c>
      <c r="H603" s="89">
        <f aca="true" t="shared" si="70" ref="H603:S603">SUM(H578:H600)</f>
        <v>0</v>
      </c>
      <c r="I603" s="90">
        <f t="shared" si="70"/>
        <v>0</v>
      </c>
      <c r="J603" s="90">
        <f t="shared" si="70"/>
        <v>0</v>
      </c>
      <c r="K603" s="90">
        <f t="shared" si="70"/>
        <v>0</v>
      </c>
      <c r="L603" s="90">
        <f t="shared" si="70"/>
        <v>0</v>
      </c>
      <c r="M603" s="90">
        <f t="shared" si="70"/>
        <v>0</v>
      </c>
      <c r="N603" s="90">
        <f t="shared" si="70"/>
        <v>0</v>
      </c>
      <c r="O603" s="90">
        <f t="shared" si="70"/>
        <v>0</v>
      </c>
      <c r="P603" s="90">
        <f t="shared" si="70"/>
        <v>0</v>
      </c>
      <c r="Q603" s="90">
        <f t="shared" si="70"/>
        <v>0</v>
      </c>
      <c r="R603" s="90">
        <f t="shared" si="70"/>
        <v>0</v>
      </c>
      <c r="S603" s="90">
        <f t="shared" si="70"/>
        <v>0</v>
      </c>
      <c r="T603" s="197">
        <f>SUM(T578:T601)</f>
        <v>0.7808333333333333</v>
      </c>
      <c r="U603" s="155"/>
      <c r="V603" s="243"/>
      <c r="W603" s="165">
        <f aca="true" t="shared" si="71" ref="W603:AD603">SUM(W578:W602)</f>
        <v>0</v>
      </c>
      <c r="X603" s="165">
        <f t="shared" si="71"/>
        <v>0.005</v>
      </c>
      <c r="Y603" s="165">
        <f t="shared" si="71"/>
        <v>0.03</v>
      </c>
      <c r="Z603" s="165">
        <f t="shared" si="71"/>
        <v>0.02</v>
      </c>
      <c r="AA603" s="165">
        <f t="shared" si="71"/>
        <v>0.5910000000000001</v>
      </c>
      <c r="AB603" s="165">
        <f t="shared" si="71"/>
        <v>0.842</v>
      </c>
      <c r="AC603" s="165">
        <f t="shared" si="71"/>
        <v>0.38600000000000007</v>
      </c>
      <c r="AD603" s="165">
        <f t="shared" si="71"/>
        <v>1.8739999999999997</v>
      </c>
      <c r="AF603" s="19">
        <f aca="true" t="shared" si="72" ref="AF603:AV603">SUM(AF578:AF602)</f>
        <v>0</v>
      </c>
      <c r="AG603" s="19">
        <f t="shared" si="72"/>
        <v>0</v>
      </c>
      <c r="AH603" s="19">
        <f t="shared" si="72"/>
        <v>0</v>
      </c>
      <c r="AI603" s="19">
        <f t="shared" si="72"/>
        <v>0.085</v>
      </c>
      <c r="AJ603" s="19">
        <f t="shared" si="72"/>
        <v>0</v>
      </c>
      <c r="AK603" s="19">
        <f t="shared" si="72"/>
        <v>0</v>
      </c>
      <c r="AL603" s="19">
        <f t="shared" si="72"/>
        <v>0</v>
      </c>
      <c r="AM603" s="19">
        <f t="shared" si="72"/>
        <v>0</v>
      </c>
      <c r="AN603" s="19">
        <f t="shared" si="72"/>
        <v>0</v>
      </c>
      <c r="AO603" s="19">
        <f t="shared" si="72"/>
        <v>0</v>
      </c>
      <c r="AP603" s="19">
        <f t="shared" si="72"/>
        <v>0</v>
      </c>
      <c r="AQ603" s="19">
        <f t="shared" si="72"/>
        <v>0.6559999999999999</v>
      </c>
      <c r="AR603" s="19">
        <f t="shared" si="72"/>
        <v>0</v>
      </c>
      <c r="AS603" s="19">
        <f t="shared" si="72"/>
        <v>0</v>
      </c>
      <c r="AT603" s="19">
        <f t="shared" si="72"/>
        <v>0</v>
      </c>
      <c r="AU603" s="19">
        <f t="shared" si="72"/>
        <v>0.101</v>
      </c>
      <c r="AV603" s="19">
        <f t="shared" si="72"/>
        <v>0.842</v>
      </c>
    </row>
    <row r="604" spans="3:48" ht="12.75">
      <c r="C604" s="7"/>
      <c r="E604" s="285"/>
      <c r="F604" s="286"/>
      <c r="G604" s="333"/>
      <c r="H604" s="83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95"/>
      <c r="U604" s="155"/>
      <c r="V604" s="243"/>
      <c r="W604" s="30"/>
      <c r="X604" s="30"/>
      <c r="Y604" s="30"/>
      <c r="Z604" s="30"/>
      <c r="AA604" s="30"/>
      <c r="AB604" s="30"/>
      <c r="AC604" s="31"/>
      <c r="AD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</row>
    <row r="605" spans="3:48" ht="12.75">
      <c r="C605" s="7" t="s">
        <v>792</v>
      </c>
      <c r="D605" s="5"/>
      <c r="E605" s="267"/>
      <c r="F605" s="269"/>
      <c r="G605" s="333"/>
      <c r="H605" s="83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54"/>
      <c r="U605" s="155"/>
      <c r="V605" s="243"/>
      <c r="W605" s="30"/>
      <c r="X605" s="30"/>
      <c r="Y605" s="30"/>
      <c r="Z605" s="30"/>
      <c r="AA605" s="30"/>
      <c r="AB605" s="30"/>
      <c r="AC605" s="31"/>
      <c r="AD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</row>
    <row r="606" spans="1:48" ht="12.75">
      <c r="A606" s="11" t="s">
        <v>252</v>
      </c>
      <c r="B606" s="27" t="s">
        <v>239</v>
      </c>
      <c r="C606" s="45" t="s">
        <v>721</v>
      </c>
      <c r="D606" s="174">
        <f>0.195+0.013+0.04+0.01</f>
        <v>0.258</v>
      </c>
      <c r="E606" s="267"/>
      <c r="F606" s="269"/>
      <c r="G606" s="5">
        <v>0.032</v>
      </c>
      <c r="H606" s="45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54">
        <f>D606/12*5</f>
        <v>0.10750000000000001</v>
      </c>
      <c r="U606" s="155"/>
      <c r="V606" s="243"/>
      <c r="W606" s="30"/>
      <c r="X606" s="30"/>
      <c r="Y606" s="30">
        <f>0.195+0.013+0.04+0.01</f>
        <v>0.258</v>
      </c>
      <c r="AB606" s="30">
        <f>SUM(AF606:AU606)</f>
        <v>0</v>
      </c>
      <c r="AD606" s="31">
        <f aca="true" t="shared" si="73" ref="AD606:AD637">SUM(W606:AC606)</f>
        <v>0.258</v>
      </c>
      <c r="AE606" s="30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>
        <f>SUM(AF606:AU606)</f>
        <v>0</v>
      </c>
    </row>
    <row r="607" spans="2:48" ht="12.75">
      <c r="B607" s="27" t="s">
        <v>238</v>
      </c>
      <c r="C607" s="186" t="s">
        <v>933</v>
      </c>
      <c r="D607" s="80">
        <v>0.004</v>
      </c>
      <c r="E607" s="279"/>
      <c r="F607" s="280"/>
      <c r="G607" s="9"/>
      <c r="H607" s="83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54">
        <f aca="true" t="shared" si="74" ref="T607:T636">D607/12*5</f>
        <v>0.0016666666666666666</v>
      </c>
      <c r="U607" s="155"/>
      <c r="V607" s="243"/>
      <c r="W607" s="30"/>
      <c r="X607" s="30"/>
      <c r="Y607" s="30"/>
      <c r="Z607" s="30"/>
      <c r="AA607" s="30">
        <v>0.004</v>
      </c>
      <c r="AB607" s="30">
        <f aca="true" t="shared" si="75" ref="AB607:AB635">SUM(AF607:AU607)</f>
        <v>0</v>
      </c>
      <c r="AC607" s="31"/>
      <c r="AD607" s="31">
        <f t="shared" si="73"/>
        <v>0.004</v>
      </c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5"/>
      <c r="AR607" s="31"/>
      <c r="AS607" s="31"/>
      <c r="AT607" s="31"/>
      <c r="AU607" s="31"/>
      <c r="AV607" s="31">
        <f aca="true" t="shared" si="76" ref="AV607:AV635">SUM(AF607:AU607)</f>
        <v>0</v>
      </c>
    </row>
    <row r="608" spans="2:48" ht="12.75">
      <c r="B608" s="27" t="s">
        <v>250</v>
      </c>
      <c r="C608" s="319" t="s">
        <v>249</v>
      </c>
      <c r="D608" s="191"/>
      <c r="E608" s="279"/>
      <c r="F608" s="280"/>
      <c r="G608" s="9">
        <v>0.001</v>
      </c>
      <c r="H608" s="83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54">
        <f t="shared" si="74"/>
        <v>0</v>
      </c>
      <c r="U608" s="155"/>
      <c r="V608" s="243"/>
      <c r="W608" s="30"/>
      <c r="X608" s="30"/>
      <c r="Y608" s="30"/>
      <c r="Z608" s="30"/>
      <c r="AA608" s="30"/>
      <c r="AB608" s="30">
        <f t="shared" si="75"/>
        <v>0</v>
      </c>
      <c r="AC608" s="31"/>
      <c r="AD608" s="31">
        <f t="shared" si="73"/>
        <v>0</v>
      </c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5"/>
      <c r="AR608" s="31"/>
      <c r="AS608" s="31"/>
      <c r="AT608" s="31"/>
      <c r="AU608" s="31"/>
      <c r="AV608" s="31">
        <f t="shared" si="76"/>
        <v>0</v>
      </c>
    </row>
    <row r="609" spans="2:48" ht="14.25" customHeight="1">
      <c r="B609" s="27" t="s">
        <v>240</v>
      </c>
      <c r="C609" s="45" t="s">
        <v>852</v>
      </c>
      <c r="D609" s="174">
        <f>0.01+0.091</f>
        <v>0.10099999999999999</v>
      </c>
      <c r="E609" s="267"/>
      <c r="G609" s="9">
        <v>0.025</v>
      </c>
      <c r="H609" s="83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54">
        <f t="shared" si="74"/>
        <v>0.042083333333333334</v>
      </c>
      <c r="U609" s="155"/>
      <c r="V609" s="243"/>
      <c r="W609" s="30"/>
      <c r="X609" s="30"/>
      <c r="Y609" s="30"/>
      <c r="AA609" s="30">
        <v>0.091</v>
      </c>
      <c r="AB609" s="30">
        <f t="shared" si="75"/>
        <v>0.01</v>
      </c>
      <c r="AC609" s="31"/>
      <c r="AD609" s="31">
        <f t="shared" si="73"/>
        <v>0.10099999999999999</v>
      </c>
      <c r="AF609" s="31"/>
      <c r="AG609" s="31"/>
      <c r="AH609" s="31"/>
      <c r="AI609" s="31"/>
      <c r="AJ609" s="31"/>
      <c r="AK609" s="31"/>
      <c r="AL609" s="31"/>
      <c r="AM609" s="31"/>
      <c r="AN609" s="31"/>
      <c r="AQ609" s="31">
        <f>0.01</f>
        <v>0.01</v>
      </c>
      <c r="AR609" s="31"/>
      <c r="AS609" s="31"/>
      <c r="AT609" s="31"/>
      <c r="AV609" s="31">
        <f t="shared" si="76"/>
        <v>0.01</v>
      </c>
    </row>
    <row r="610" spans="2:48" ht="12.75">
      <c r="B610" s="27" t="s">
        <v>241</v>
      </c>
      <c r="C610" s="319" t="s">
        <v>719</v>
      </c>
      <c r="D610" s="191">
        <f>0.05-0.006</f>
        <v>0.044000000000000004</v>
      </c>
      <c r="E610" s="279"/>
      <c r="F610" s="280"/>
      <c r="G610" s="9">
        <v>0.012</v>
      </c>
      <c r="H610" s="83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54">
        <f t="shared" si="74"/>
        <v>0.018333333333333333</v>
      </c>
      <c r="U610" s="155"/>
      <c r="V610" s="243"/>
      <c r="W610" s="30"/>
      <c r="X610" s="30"/>
      <c r="Y610" s="30"/>
      <c r="Z610" s="30"/>
      <c r="AA610" s="30">
        <f>0.05-0.006</f>
        <v>0.044000000000000004</v>
      </c>
      <c r="AB610" s="30">
        <f t="shared" si="75"/>
        <v>0</v>
      </c>
      <c r="AC610" s="31"/>
      <c r="AD610" s="31">
        <f t="shared" si="73"/>
        <v>0.044000000000000004</v>
      </c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5"/>
      <c r="AR610" s="31"/>
      <c r="AS610" s="31"/>
      <c r="AT610" s="31"/>
      <c r="AU610" s="31"/>
      <c r="AV610" s="31">
        <f t="shared" si="76"/>
        <v>0</v>
      </c>
    </row>
    <row r="611" spans="2:48" ht="12.75">
      <c r="B611" s="27" t="s">
        <v>246</v>
      </c>
      <c r="C611" s="319" t="s">
        <v>911</v>
      </c>
      <c r="D611" s="191">
        <v>0.003</v>
      </c>
      <c r="E611" s="279"/>
      <c r="F611" s="280"/>
      <c r="G611" s="9"/>
      <c r="H611" s="83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54">
        <f t="shared" si="74"/>
        <v>0.00125</v>
      </c>
      <c r="U611" s="155"/>
      <c r="V611" s="243"/>
      <c r="W611" s="30"/>
      <c r="X611" s="30"/>
      <c r="Y611" s="30"/>
      <c r="Z611" s="30"/>
      <c r="AA611" s="30">
        <v>0.003</v>
      </c>
      <c r="AB611" s="30">
        <f t="shared" si="75"/>
        <v>0</v>
      </c>
      <c r="AC611" s="31"/>
      <c r="AD611" s="31">
        <f t="shared" si="73"/>
        <v>0.003</v>
      </c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5"/>
      <c r="AR611" s="31"/>
      <c r="AS611" s="31"/>
      <c r="AT611" s="31"/>
      <c r="AU611" s="31"/>
      <c r="AV611" s="31">
        <f t="shared" si="76"/>
        <v>0</v>
      </c>
    </row>
    <row r="612" spans="2:48" ht="12.75">
      <c r="B612" s="27" t="s">
        <v>242</v>
      </c>
      <c r="C612" s="45" t="s">
        <v>683</v>
      </c>
      <c r="D612" s="174">
        <f>4.401+0.008-2.744+0.357</f>
        <v>2.0219999999999994</v>
      </c>
      <c r="E612" s="279"/>
      <c r="F612" s="280"/>
      <c r="G612" s="9">
        <v>0.287</v>
      </c>
      <c r="H612" s="83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54">
        <f t="shared" si="74"/>
        <v>0.8424999999999998</v>
      </c>
      <c r="U612" s="155"/>
      <c r="V612" s="243"/>
      <c r="W612" s="30"/>
      <c r="X612" s="30"/>
      <c r="Y612" s="30"/>
      <c r="AA612" s="30">
        <v>0.5</v>
      </c>
      <c r="AB612" s="30">
        <f t="shared" si="75"/>
        <v>1.5220000000000002</v>
      </c>
      <c r="AC612" s="31">
        <f>1.769-1.769</f>
        <v>0</v>
      </c>
      <c r="AD612" s="31">
        <f t="shared" si="73"/>
        <v>2.0220000000000002</v>
      </c>
      <c r="AE612" s="30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>
        <f>1.35-0.475-0.236</f>
        <v>0.6390000000000001</v>
      </c>
      <c r="AQ612" s="31"/>
      <c r="AR612" s="31"/>
      <c r="AS612" s="31"/>
      <c r="AT612" s="31"/>
      <c r="AU612" s="31">
        <v>0.883</v>
      </c>
      <c r="AV612" s="31">
        <f t="shared" si="76"/>
        <v>1.5220000000000002</v>
      </c>
    </row>
    <row r="613" spans="2:48" ht="12.75">
      <c r="B613" s="27" t="s">
        <v>243</v>
      </c>
      <c r="C613" s="319" t="s">
        <v>931</v>
      </c>
      <c r="D613" s="191">
        <v>0.017</v>
      </c>
      <c r="E613" s="279"/>
      <c r="F613" s="280"/>
      <c r="G613" s="9">
        <v>0.008</v>
      </c>
      <c r="H613" s="83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54">
        <f t="shared" si="74"/>
        <v>0.007083333333333334</v>
      </c>
      <c r="U613" s="155"/>
      <c r="V613" s="243"/>
      <c r="W613" s="30"/>
      <c r="X613" s="30"/>
      <c r="Y613" s="30"/>
      <c r="Z613" s="30">
        <v>0.017</v>
      </c>
      <c r="AA613" s="30"/>
      <c r="AB613" s="30">
        <f t="shared" si="75"/>
        <v>0</v>
      </c>
      <c r="AC613" s="31"/>
      <c r="AD613" s="31">
        <f t="shared" si="73"/>
        <v>0.017</v>
      </c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5"/>
      <c r="AR613" s="31"/>
      <c r="AS613" s="31"/>
      <c r="AT613" s="31"/>
      <c r="AU613" s="31"/>
      <c r="AV613" s="31">
        <f t="shared" si="76"/>
        <v>0</v>
      </c>
    </row>
    <row r="614" spans="2:48" ht="12.75">
      <c r="B614" s="27" t="s">
        <v>244</v>
      </c>
      <c r="C614" s="319" t="s">
        <v>245</v>
      </c>
      <c r="D614" s="191"/>
      <c r="E614" s="279"/>
      <c r="F614" s="280"/>
      <c r="G614" s="9">
        <v>0.008</v>
      </c>
      <c r="H614" s="83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54">
        <f t="shared" si="74"/>
        <v>0</v>
      </c>
      <c r="U614" s="155"/>
      <c r="V614" s="243"/>
      <c r="W614" s="30"/>
      <c r="X614" s="30"/>
      <c r="Y614" s="30"/>
      <c r="Z614" s="30"/>
      <c r="AA614" s="30"/>
      <c r="AB614" s="30">
        <f t="shared" si="75"/>
        <v>0</v>
      </c>
      <c r="AC614" s="31"/>
      <c r="AD614" s="31">
        <f t="shared" si="73"/>
        <v>0</v>
      </c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5"/>
      <c r="AR614" s="31"/>
      <c r="AS614" s="31"/>
      <c r="AT614" s="31"/>
      <c r="AU614" s="31"/>
      <c r="AV614" s="31">
        <f t="shared" si="76"/>
        <v>0</v>
      </c>
    </row>
    <row r="615" spans="2:48" ht="12.75">
      <c r="B615" s="27" t="s">
        <v>248</v>
      </c>
      <c r="C615" s="319" t="s">
        <v>247</v>
      </c>
      <c r="D615" s="191"/>
      <c r="E615" s="279"/>
      <c r="F615" s="143"/>
      <c r="G615" s="9">
        <v>0.012</v>
      </c>
      <c r="H615" s="83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54">
        <f t="shared" si="74"/>
        <v>0</v>
      </c>
      <c r="U615" s="155"/>
      <c r="V615" s="243"/>
      <c r="W615" s="30"/>
      <c r="X615" s="30"/>
      <c r="Y615" s="30"/>
      <c r="Z615" s="30"/>
      <c r="AA615" s="30"/>
      <c r="AB615" s="30">
        <f t="shared" si="75"/>
        <v>0</v>
      </c>
      <c r="AC615" s="31"/>
      <c r="AD615" s="31">
        <f t="shared" si="73"/>
        <v>0</v>
      </c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6"/>
      <c r="AR615" s="31"/>
      <c r="AS615" s="31"/>
      <c r="AT615" s="31"/>
      <c r="AU615" s="31"/>
      <c r="AV615" s="31">
        <f t="shared" si="76"/>
        <v>0</v>
      </c>
    </row>
    <row r="616" spans="1:48" ht="12.75">
      <c r="A616" s="21"/>
      <c r="B616" s="21"/>
      <c r="C616" s="5" t="s">
        <v>267</v>
      </c>
      <c r="D616" s="174">
        <v>0.126</v>
      </c>
      <c r="E616" s="298"/>
      <c r="F616" s="300"/>
      <c r="G616" s="12"/>
      <c r="H616" s="179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302"/>
      <c r="T616" s="154">
        <f>SUM(H616:L616)</f>
        <v>0</v>
      </c>
      <c r="U616" s="156"/>
      <c r="V616" s="243">
        <v>38579</v>
      </c>
      <c r="W616" s="30"/>
      <c r="X616" s="30"/>
      <c r="Y616" s="30">
        <v>0.095</v>
      </c>
      <c r="Z616" s="30"/>
      <c r="AA616" s="30"/>
      <c r="AB616" s="30">
        <f>SUM(AF616:AU616)</f>
        <v>0.031</v>
      </c>
      <c r="AD616" s="31">
        <f>SUM(W616:AC616)</f>
        <v>0.126</v>
      </c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>
        <v>0.031</v>
      </c>
      <c r="AR616" s="31"/>
      <c r="AS616" s="31"/>
      <c r="AT616" s="31"/>
      <c r="AU616" s="31"/>
      <c r="AV616" s="31">
        <f>SUM(AF616:AU616)</f>
        <v>0.031</v>
      </c>
    </row>
    <row r="617" spans="3:49" ht="12.75">
      <c r="C617" s="129" t="s">
        <v>714</v>
      </c>
      <c r="D617" s="191">
        <v>0.017</v>
      </c>
      <c r="E617" s="279"/>
      <c r="F617" s="280"/>
      <c r="G617" s="9"/>
      <c r="H617" s="83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54">
        <f t="shared" si="74"/>
        <v>0.007083333333333334</v>
      </c>
      <c r="U617" s="155"/>
      <c r="V617" s="243"/>
      <c r="W617" s="30"/>
      <c r="X617" s="30"/>
      <c r="Y617" s="30"/>
      <c r="Z617" s="30"/>
      <c r="AA617" s="30"/>
      <c r="AB617" s="30">
        <f t="shared" si="75"/>
        <v>0</v>
      </c>
      <c r="AC617" s="31">
        <v>0.017</v>
      </c>
      <c r="AD617" s="31">
        <f t="shared" si="73"/>
        <v>0.017</v>
      </c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5"/>
      <c r="AR617" s="31"/>
      <c r="AS617" s="31"/>
      <c r="AT617" s="31"/>
      <c r="AU617" s="31"/>
      <c r="AV617" s="31">
        <f t="shared" si="76"/>
        <v>0</v>
      </c>
      <c r="AW617" s="27" t="s">
        <v>874</v>
      </c>
    </row>
    <row r="618" spans="3:49" ht="12.75">
      <c r="C618" s="129" t="s">
        <v>715</v>
      </c>
      <c r="D618" s="191">
        <v>0.03</v>
      </c>
      <c r="E618" s="279"/>
      <c r="F618" s="280"/>
      <c r="G618" s="9"/>
      <c r="H618" s="83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54">
        <f t="shared" si="74"/>
        <v>0.0125</v>
      </c>
      <c r="U618" s="155"/>
      <c r="V618" s="243"/>
      <c r="W618" s="30"/>
      <c r="X618" s="30"/>
      <c r="Y618" s="30"/>
      <c r="Z618" s="30"/>
      <c r="AA618" s="30"/>
      <c r="AB618" s="30">
        <f t="shared" si="75"/>
        <v>0</v>
      </c>
      <c r="AC618" s="31">
        <v>0.03</v>
      </c>
      <c r="AD618" s="31">
        <f t="shared" si="73"/>
        <v>0.03</v>
      </c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5"/>
      <c r="AR618" s="31"/>
      <c r="AS618" s="31"/>
      <c r="AT618" s="31"/>
      <c r="AU618" s="31"/>
      <c r="AV618" s="31">
        <f t="shared" si="76"/>
        <v>0</v>
      </c>
      <c r="AW618" s="27" t="s">
        <v>875</v>
      </c>
    </row>
    <row r="619" spans="3:48" ht="12.75">
      <c r="C619" s="186" t="s">
        <v>887</v>
      </c>
      <c r="D619" s="80">
        <v>0.01</v>
      </c>
      <c r="E619" s="279"/>
      <c r="F619" s="280"/>
      <c r="G619" s="9"/>
      <c r="H619" s="83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54">
        <f t="shared" si="74"/>
        <v>0.004166666666666667</v>
      </c>
      <c r="U619" s="155"/>
      <c r="V619" s="243"/>
      <c r="W619" s="30"/>
      <c r="X619" s="30"/>
      <c r="Y619" s="30"/>
      <c r="Z619" s="30"/>
      <c r="AA619" s="30">
        <v>0.01</v>
      </c>
      <c r="AB619" s="30">
        <f>SUM(AF619:AU619)</f>
        <v>0</v>
      </c>
      <c r="AC619" s="31"/>
      <c r="AD619" s="31">
        <f t="shared" si="73"/>
        <v>0.01</v>
      </c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5"/>
      <c r="AR619" s="31"/>
      <c r="AS619" s="31"/>
      <c r="AT619" s="31"/>
      <c r="AU619" s="31"/>
      <c r="AV619" s="31">
        <f t="shared" si="76"/>
        <v>0</v>
      </c>
    </row>
    <row r="620" spans="3:49" ht="12.75">
      <c r="C620" s="186" t="s">
        <v>930</v>
      </c>
      <c r="D620" s="80">
        <f>0.007-0.002</f>
        <v>0.005</v>
      </c>
      <c r="E620" s="279"/>
      <c r="F620" s="280"/>
      <c r="G620" s="9"/>
      <c r="H620" s="83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54">
        <f t="shared" si="74"/>
        <v>0.0020833333333333333</v>
      </c>
      <c r="U620" s="155"/>
      <c r="V620" s="243"/>
      <c r="W620" s="30"/>
      <c r="X620" s="30"/>
      <c r="Y620" s="30"/>
      <c r="Z620" s="30"/>
      <c r="AA620" s="30"/>
      <c r="AB620" s="30">
        <f t="shared" si="75"/>
        <v>0</v>
      </c>
      <c r="AC620" s="31">
        <f>0.007-0.002</f>
        <v>0.005</v>
      </c>
      <c r="AD620" s="31">
        <f t="shared" si="73"/>
        <v>0.005</v>
      </c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5"/>
      <c r="AR620" s="31"/>
      <c r="AS620" s="31"/>
      <c r="AT620" s="31"/>
      <c r="AU620" s="31"/>
      <c r="AV620" s="31">
        <f t="shared" si="76"/>
        <v>0</v>
      </c>
      <c r="AW620" s="27" t="s">
        <v>910</v>
      </c>
    </row>
    <row r="621" spans="3:48" ht="12.75">
      <c r="C621" s="186" t="s">
        <v>932</v>
      </c>
      <c r="D621" s="80">
        <v>0.014</v>
      </c>
      <c r="E621" s="279"/>
      <c r="F621" s="280"/>
      <c r="G621" s="9"/>
      <c r="H621" s="83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54">
        <f t="shared" si="74"/>
        <v>0.005833333333333334</v>
      </c>
      <c r="U621" s="155"/>
      <c r="V621" s="243"/>
      <c r="W621" s="30"/>
      <c r="X621" s="30"/>
      <c r="Y621" s="30"/>
      <c r="Z621" s="30"/>
      <c r="AA621" s="30">
        <v>0.014</v>
      </c>
      <c r="AB621" s="30">
        <f t="shared" si="75"/>
        <v>0</v>
      </c>
      <c r="AC621" s="31"/>
      <c r="AD621" s="31">
        <f t="shared" si="73"/>
        <v>0.014</v>
      </c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5"/>
      <c r="AR621" s="31"/>
      <c r="AS621" s="31"/>
      <c r="AT621" s="31"/>
      <c r="AU621" s="31"/>
      <c r="AV621" s="31">
        <f t="shared" si="76"/>
        <v>0</v>
      </c>
    </row>
    <row r="622" spans="3:48" ht="12.75">
      <c r="C622" s="186" t="s">
        <v>952</v>
      </c>
      <c r="D622" s="80"/>
      <c r="E622" s="279"/>
      <c r="F622" s="280"/>
      <c r="G622" s="9"/>
      <c r="H622" s="83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54">
        <f t="shared" si="74"/>
        <v>0</v>
      </c>
      <c r="U622" s="155"/>
      <c r="V622" s="243"/>
      <c r="W622" s="30"/>
      <c r="X622" s="30"/>
      <c r="Y622" s="30"/>
      <c r="Z622" s="30"/>
      <c r="AA622" s="30"/>
      <c r="AB622" s="30">
        <f t="shared" si="75"/>
        <v>0</v>
      </c>
      <c r="AC622" s="31"/>
      <c r="AD622" s="31">
        <f t="shared" si="73"/>
        <v>0</v>
      </c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5"/>
      <c r="AR622" s="31"/>
      <c r="AS622" s="31"/>
      <c r="AT622" s="31"/>
      <c r="AU622" s="31"/>
      <c r="AV622" s="31">
        <f t="shared" si="76"/>
        <v>0</v>
      </c>
    </row>
    <row r="623" spans="2:48" ht="12.75">
      <c r="B623" s="27" t="s">
        <v>590</v>
      </c>
      <c r="C623" s="186" t="s">
        <v>565</v>
      </c>
      <c r="D623" s="80">
        <f>0.006+0.11</f>
        <v>0.116</v>
      </c>
      <c r="E623" s="279"/>
      <c r="F623" s="280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54">
        <f t="shared" si="74"/>
        <v>0.04833333333333334</v>
      </c>
      <c r="U623" s="155"/>
      <c r="V623" s="243"/>
      <c r="W623" s="30"/>
      <c r="X623" s="30"/>
      <c r="Y623" s="30"/>
      <c r="Z623" s="30"/>
      <c r="AA623" s="30"/>
      <c r="AB623" s="30">
        <f t="shared" si="75"/>
        <v>0.116</v>
      </c>
      <c r="AC623" s="31"/>
      <c r="AD623" s="31">
        <f t="shared" si="73"/>
        <v>0.116</v>
      </c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6">
        <v>0.1</v>
      </c>
      <c r="AR623" s="31"/>
      <c r="AS623" s="31"/>
      <c r="AT623" s="31"/>
      <c r="AU623" s="31">
        <v>0.016</v>
      </c>
      <c r="AV623" s="31">
        <f t="shared" si="76"/>
        <v>0.116</v>
      </c>
    </row>
    <row r="624" spans="2:48" ht="12.75">
      <c r="B624" s="27" t="s">
        <v>591</v>
      </c>
      <c r="C624" s="186" t="s">
        <v>566</v>
      </c>
      <c r="D624" s="80">
        <v>0.241</v>
      </c>
      <c r="E624" s="279"/>
      <c r="F624" s="280"/>
      <c r="G624" s="9">
        <v>0.242</v>
      </c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54">
        <f t="shared" si="74"/>
        <v>0.10041666666666665</v>
      </c>
      <c r="U624" s="155"/>
      <c r="V624" s="243"/>
      <c r="W624" s="30"/>
      <c r="X624" s="30"/>
      <c r="Y624" s="30"/>
      <c r="Z624" s="30"/>
      <c r="AA624" s="30"/>
      <c r="AB624" s="30">
        <f t="shared" si="75"/>
        <v>0.235</v>
      </c>
      <c r="AC624" s="31">
        <v>0.006</v>
      </c>
      <c r="AD624" s="31">
        <f t="shared" si="73"/>
        <v>0.241</v>
      </c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6">
        <f>0.048+0.173+0.014</f>
        <v>0.235</v>
      </c>
      <c r="AR624" s="31"/>
      <c r="AS624" s="31"/>
      <c r="AT624" s="31"/>
      <c r="AU624" s="31"/>
      <c r="AV624" s="31">
        <f t="shared" si="76"/>
        <v>0.235</v>
      </c>
    </row>
    <row r="625" spans="3:48" ht="12.75">
      <c r="C625" s="186" t="s">
        <v>567</v>
      </c>
      <c r="D625" s="80">
        <v>0.081</v>
      </c>
      <c r="E625" s="279"/>
      <c r="F625" s="280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54">
        <f t="shared" si="74"/>
        <v>0.03375</v>
      </c>
      <c r="U625" s="155"/>
      <c r="V625" s="243"/>
      <c r="W625" s="30"/>
      <c r="X625" s="30"/>
      <c r="Y625" s="30"/>
      <c r="Z625" s="30"/>
      <c r="AA625" s="30"/>
      <c r="AB625" s="30">
        <f t="shared" si="75"/>
        <v>0.081</v>
      </c>
      <c r="AC625" s="31"/>
      <c r="AD625" s="31">
        <f t="shared" si="73"/>
        <v>0.081</v>
      </c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6">
        <v>0.081</v>
      </c>
      <c r="AR625" s="31"/>
      <c r="AS625" s="31"/>
      <c r="AT625" s="31"/>
      <c r="AU625" s="31"/>
      <c r="AV625" s="31">
        <f t="shared" si="76"/>
        <v>0.081</v>
      </c>
    </row>
    <row r="626" spans="3:48" ht="12.75">
      <c r="C626" s="186" t="s">
        <v>568</v>
      </c>
      <c r="D626" s="80">
        <v>0.2</v>
      </c>
      <c r="E626" s="279"/>
      <c r="F626" s="280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54">
        <f t="shared" si="74"/>
        <v>0.08333333333333333</v>
      </c>
      <c r="U626" s="155"/>
      <c r="V626" s="243"/>
      <c r="W626" s="30"/>
      <c r="X626" s="30"/>
      <c r="Y626" s="30"/>
      <c r="Z626" s="30"/>
      <c r="AA626" s="30"/>
      <c r="AB626" s="30">
        <f t="shared" si="75"/>
        <v>0.19999999999999998</v>
      </c>
      <c r="AC626" s="31"/>
      <c r="AD626" s="31">
        <f t="shared" si="73"/>
        <v>0.19999999999999998</v>
      </c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6">
        <f>0.019+0.181</f>
        <v>0.19999999999999998</v>
      </c>
      <c r="AR626" s="31"/>
      <c r="AS626" s="31"/>
      <c r="AT626" s="31"/>
      <c r="AU626" s="31"/>
      <c r="AV626" s="31">
        <f t="shared" si="76"/>
        <v>0.19999999999999998</v>
      </c>
    </row>
    <row r="627" spans="3:48" ht="12.75">
      <c r="C627" s="186" t="s">
        <v>569</v>
      </c>
      <c r="D627" s="80">
        <f>0.112-0.005</f>
        <v>0.107</v>
      </c>
      <c r="E627" s="279"/>
      <c r="F627" s="280"/>
      <c r="G627" s="9">
        <v>0.002</v>
      </c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54">
        <f t="shared" si="74"/>
        <v>0.044583333333333336</v>
      </c>
      <c r="U627" s="155"/>
      <c r="V627" s="243"/>
      <c r="W627" s="30"/>
      <c r="X627" s="30"/>
      <c r="Y627" s="30"/>
      <c r="Z627" s="30"/>
      <c r="AA627" s="30"/>
      <c r="AB627" s="30">
        <f t="shared" si="75"/>
        <v>0.107</v>
      </c>
      <c r="AC627" s="31"/>
      <c r="AD627" s="31">
        <f t="shared" si="73"/>
        <v>0.107</v>
      </c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6">
        <v>0.107</v>
      </c>
      <c r="AR627" s="31"/>
      <c r="AS627" s="31"/>
      <c r="AT627" s="31"/>
      <c r="AU627" s="31"/>
      <c r="AV627" s="31">
        <f t="shared" si="76"/>
        <v>0.107</v>
      </c>
    </row>
    <row r="628" spans="2:48" ht="12.75">
      <c r="B628" s="27" t="s">
        <v>589</v>
      </c>
      <c r="C628" s="186" t="s">
        <v>756</v>
      </c>
      <c r="D628" s="80">
        <f>1.295-0.401</f>
        <v>0.8939999999999999</v>
      </c>
      <c r="E628" s="279"/>
      <c r="F628" s="280"/>
      <c r="G628" s="9">
        <v>0.277</v>
      </c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54">
        <f>D628/12*5</f>
        <v>0.3725</v>
      </c>
      <c r="U628" s="155"/>
      <c r="V628" s="243"/>
      <c r="W628" s="30"/>
      <c r="X628" s="30"/>
      <c r="Y628" s="30"/>
      <c r="Z628" s="30">
        <v>0.114</v>
      </c>
      <c r="AA628" s="30"/>
      <c r="AB628" s="30">
        <f t="shared" si="75"/>
        <v>0.757</v>
      </c>
      <c r="AC628" s="31">
        <v>0.023</v>
      </c>
      <c r="AD628" s="31">
        <f>SUM(W628:AC628)</f>
        <v>0.894</v>
      </c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6">
        <v>0.757</v>
      </c>
      <c r="AR628" s="31"/>
      <c r="AS628" s="31"/>
      <c r="AT628" s="31"/>
      <c r="AU628" s="31"/>
      <c r="AV628" s="31">
        <f t="shared" si="76"/>
        <v>0.757</v>
      </c>
    </row>
    <row r="629" spans="3:48" ht="12.75">
      <c r="C629" s="186" t="s">
        <v>570</v>
      </c>
      <c r="D629" s="80">
        <v>0.037</v>
      </c>
      <c r="E629" s="279"/>
      <c r="F629" s="280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54">
        <f t="shared" si="74"/>
        <v>0.015416666666666667</v>
      </c>
      <c r="U629" s="155"/>
      <c r="V629" s="243"/>
      <c r="W629" s="30"/>
      <c r="X629" s="30"/>
      <c r="Y629" s="30"/>
      <c r="Z629" s="30"/>
      <c r="AA629" s="30"/>
      <c r="AB629" s="30">
        <f t="shared" si="75"/>
        <v>0.037</v>
      </c>
      <c r="AC629" s="31"/>
      <c r="AD629" s="31">
        <f t="shared" si="73"/>
        <v>0.037</v>
      </c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6">
        <f>0.018+0.019</f>
        <v>0.037</v>
      </c>
      <c r="AR629" s="31"/>
      <c r="AS629" s="31"/>
      <c r="AT629" s="31"/>
      <c r="AU629" s="31"/>
      <c r="AV629" s="31">
        <f t="shared" si="76"/>
        <v>0.037</v>
      </c>
    </row>
    <row r="630" spans="2:48" ht="12.75">
      <c r="B630" s="27" t="s">
        <v>588</v>
      </c>
      <c r="C630" s="186" t="s">
        <v>571</v>
      </c>
      <c r="D630" s="80">
        <f>0.882-0.58</f>
        <v>0.30200000000000005</v>
      </c>
      <c r="E630" s="279"/>
      <c r="F630" s="280"/>
      <c r="G630" s="9">
        <v>0.067</v>
      </c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54">
        <f t="shared" si="74"/>
        <v>0.12583333333333335</v>
      </c>
      <c r="U630" s="155"/>
      <c r="V630" s="243"/>
      <c r="W630" s="30"/>
      <c r="X630" s="30"/>
      <c r="Y630" s="30"/>
      <c r="Z630" s="30"/>
      <c r="AA630" s="30">
        <f>0.279+0.015</f>
        <v>0.29400000000000004</v>
      </c>
      <c r="AB630" s="30">
        <f t="shared" si="75"/>
        <v>0.008</v>
      </c>
      <c r="AC630" s="31"/>
      <c r="AD630" s="31">
        <f t="shared" si="73"/>
        <v>0.30200000000000005</v>
      </c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6">
        <v>0.008</v>
      </c>
      <c r="AR630" s="31"/>
      <c r="AS630" s="31"/>
      <c r="AT630" s="31"/>
      <c r="AU630" s="31"/>
      <c r="AV630" s="31">
        <f t="shared" si="76"/>
        <v>0.008</v>
      </c>
    </row>
    <row r="631" spans="2:48" ht="12.75">
      <c r="B631" s="27" t="s">
        <v>587</v>
      </c>
      <c r="C631" s="186" t="s">
        <v>757</v>
      </c>
      <c r="D631" s="80">
        <v>0.015</v>
      </c>
      <c r="E631" s="279"/>
      <c r="F631" s="280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54">
        <f t="shared" si="74"/>
        <v>0.00625</v>
      </c>
      <c r="U631" s="155"/>
      <c r="V631" s="243"/>
      <c r="W631" s="30"/>
      <c r="X631" s="30"/>
      <c r="Y631" s="30"/>
      <c r="Z631" s="30"/>
      <c r="AA631" s="30"/>
      <c r="AB631" s="30">
        <f t="shared" si="75"/>
        <v>0.015</v>
      </c>
      <c r="AC631" s="31"/>
      <c r="AD631" s="31">
        <f t="shared" si="73"/>
        <v>0.015</v>
      </c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6">
        <v>0.015</v>
      </c>
      <c r="AR631" s="31"/>
      <c r="AS631" s="31"/>
      <c r="AT631" s="31"/>
      <c r="AU631" s="31"/>
      <c r="AV631" s="31">
        <f t="shared" si="76"/>
        <v>0.015</v>
      </c>
    </row>
    <row r="632" spans="2:48" ht="12.75">
      <c r="B632" s="27" t="s">
        <v>586</v>
      </c>
      <c r="C632" s="186" t="s">
        <v>762</v>
      </c>
      <c r="D632" s="80">
        <v>0.075</v>
      </c>
      <c r="E632" s="279"/>
      <c r="F632" s="280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54">
        <f t="shared" si="74"/>
        <v>0.031249999999999997</v>
      </c>
      <c r="U632" s="155"/>
      <c r="V632" s="243"/>
      <c r="W632" s="30"/>
      <c r="X632" s="30"/>
      <c r="Y632" s="30"/>
      <c r="Z632" s="30"/>
      <c r="AA632" s="30"/>
      <c r="AB632" s="30">
        <f t="shared" si="75"/>
        <v>0.075</v>
      </c>
      <c r="AC632" s="31"/>
      <c r="AD632" s="31">
        <f t="shared" si="73"/>
        <v>0.075</v>
      </c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6">
        <v>0.075</v>
      </c>
      <c r="AR632" s="31"/>
      <c r="AS632" s="31"/>
      <c r="AT632" s="31"/>
      <c r="AU632" s="31"/>
      <c r="AV632" s="31">
        <f t="shared" si="76"/>
        <v>0.075</v>
      </c>
    </row>
    <row r="633" spans="2:48" ht="12.75">
      <c r="B633" s="27" t="s">
        <v>585</v>
      </c>
      <c r="C633" s="186" t="s">
        <v>581</v>
      </c>
      <c r="D633" s="80">
        <v>0.022</v>
      </c>
      <c r="E633" s="279"/>
      <c r="F633" s="280"/>
      <c r="G633" s="9">
        <v>0.03</v>
      </c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54">
        <f t="shared" si="74"/>
        <v>0.009166666666666667</v>
      </c>
      <c r="U633" s="155"/>
      <c r="V633" s="243"/>
      <c r="W633" s="30"/>
      <c r="X633" s="30"/>
      <c r="Y633" s="30"/>
      <c r="Z633" s="30"/>
      <c r="AA633" s="30"/>
      <c r="AB633" s="30">
        <f t="shared" si="75"/>
        <v>0.022</v>
      </c>
      <c r="AC633" s="31"/>
      <c r="AD633" s="31">
        <f t="shared" si="73"/>
        <v>0.022</v>
      </c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6"/>
      <c r="AR633" s="31"/>
      <c r="AS633" s="31"/>
      <c r="AT633" s="31"/>
      <c r="AU633" s="31">
        <v>0.022</v>
      </c>
      <c r="AV633" s="31">
        <f t="shared" si="76"/>
        <v>0.022</v>
      </c>
    </row>
    <row r="634" spans="2:48" ht="12.75">
      <c r="B634" s="27" t="s">
        <v>584</v>
      </c>
      <c r="C634" s="186" t="s">
        <v>582</v>
      </c>
      <c r="D634" s="80">
        <v>0.014</v>
      </c>
      <c r="E634" s="279"/>
      <c r="F634" s="280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54"/>
      <c r="U634" s="155"/>
      <c r="V634" s="243"/>
      <c r="W634" s="30"/>
      <c r="X634" s="30"/>
      <c r="Y634" s="30"/>
      <c r="Z634" s="30"/>
      <c r="AA634" s="30"/>
      <c r="AB634" s="30">
        <f t="shared" si="75"/>
        <v>0.014</v>
      </c>
      <c r="AC634" s="31"/>
      <c r="AD634" s="31">
        <f t="shared" si="73"/>
        <v>0.014</v>
      </c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6">
        <v>0.012</v>
      </c>
      <c r="AR634" s="31"/>
      <c r="AS634" s="31"/>
      <c r="AT634" s="31"/>
      <c r="AU634" s="31">
        <v>0.002</v>
      </c>
      <c r="AV634" s="31">
        <f t="shared" si="76"/>
        <v>0.014</v>
      </c>
    </row>
    <row r="635" spans="2:48" ht="12.75">
      <c r="B635" s="27" t="s">
        <v>583</v>
      </c>
      <c r="C635" s="186" t="s">
        <v>580</v>
      </c>
      <c r="D635" s="80"/>
      <c r="E635" s="279"/>
      <c r="F635" s="280"/>
      <c r="G635" s="9">
        <v>0.017</v>
      </c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54">
        <f t="shared" si="74"/>
        <v>0</v>
      </c>
      <c r="U635" s="155"/>
      <c r="V635" s="243"/>
      <c r="W635" s="30"/>
      <c r="X635" s="30"/>
      <c r="Y635" s="30"/>
      <c r="Z635" s="30"/>
      <c r="AA635" s="30"/>
      <c r="AB635" s="30">
        <f t="shared" si="75"/>
        <v>0</v>
      </c>
      <c r="AC635" s="31"/>
      <c r="AD635" s="31">
        <f t="shared" si="73"/>
        <v>0</v>
      </c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6"/>
      <c r="AR635" s="31"/>
      <c r="AS635" s="31"/>
      <c r="AT635" s="31"/>
      <c r="AU635" s="31"/>
      <c r="AV635" s="31">
        <f t="shared" si="76"/>
        <v>0</v>
      </c>
    </row>
    <row r="636" spans="3:48" ht="13.5" thickBot="1">
      <c r="C636" s="5"/>
      <c r="E636" s="279"/>
      <c r="F636" s="280"/>
      <c r="G636" s="9"/>
      <c r="T636" s="154">
        <f t="shared" si="74"/>
        <v>0</v>
      </c>
      <c r="U636" s="155"/>
      <c r="V636" s="243"/>
      <c r="W636" s="30"/>
      <c r="X636" s="30"/>
      <c r="Y636" s="30"/>
      <c r="Z636" s="30"/>
      <c r="AA636" s="30"/>
      <c r="AB636" s="30">
        <f>SUM(AF636:AU636)</f>
        <v>0</v>
      </c>
      <c r="AC636" s="31"/>
      <c r="AD636" s="31">
        <f t="shared" si="73"/>
        <v>0</v>
      </c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6"/>
      <c r="AR636" s="31"/>
      <c r="AS636" s="31"/>
      <c r="AT636" s="31"/>
      <c r="AU636" s="31"/>
      <c r="AV636" s="31"/>
    </row>
    <row r="637" spans="3:48" ht="13.5" thickBot="1">
      <c r="C637" s="7" t="s">
        <v>814</v>
      </c>
      <c r="D637" s="19">
        <f>SUM(D606:D636)</f>
        <v>4.755</v>
      </c>
      <c r="E637" s="277"/>
      <c r="F637" s="278"/>
      <c r="G637" s="19">
        <f aca="true" t="shared" si="77" ref="G637:T637">SUM(G606:G636)</f>
        <v>1.02</v>
      </c>
      <c r="H637" s="89">
        <f t="shared" si="77"/>
        <v>0</v>
      </c>
      <c r="I637" s="90">
        <f t="shared" si="77"/>
        <v>0</v>
      </c>
      <c r="J637" s="90">
        <f t="shared" si="77"/>
        <v>0</v>
      </c>
      <c r="K637" s="90">
        <f t="shared" si="77"/>
        <v>0</v>
      </c>
      <c r="L637" s="90">
        <f t="shared" si="77"/>
        <v>0</v>
      </c>
      <c r="M637" s="90">
        <f t="shared" si="77"/>
        <v>0</v>
      </c>
      <c r="N637" s="90">
        <f t="shared" si="77"/>
        <v>0</v>
      </c>
      <c r="O637" s="90">
        <f t="shared" si="77"/>
        <v>0</v>
      </c>
      <c r="P637" s="90">
        <f t="shared" si="77"/>
        <v>0</v>
      </c>
      <c r="Q637" s="90">
        <f t="shared" si="77"/>
        <v>0</v>
      </c>
      <c r="R637" s="90">
        <f t="shared" si="77"/>
        <v>0</v>
      </c>
      <c r="S637" s="90">
        <f t="shared" si="77"/>
        <v>0</v>
      </c>
      <c r="T637" s="195">
        <f t="shared" si="77"/>
        <v>1.9229166666666666</v>
      </c>
      <c r="U637" s="155"/>
      <c r="V637" s="243"/>
      <c r="W637" s="24">
        <f aca="true" t="shared" si="78" ref="W637:AC637">SUM(W606:W636)</f>
        <v>0</v>
      </c>
      <c r="X637" s="24">
        <f t="shared" si="78"/>
        <v>0</v>
      </c>
      <c r="Y637" s="24">
        <f t="shared" si="78"/>
        <v>0.353</v>
      </c>
      <c r="Z637" s="24">
        <f t="shared" si="78"/>
        <v>0.131</v>
      </c>
      <c r="AA637" s="24">
        <f t="shared" si="78"/>
        <v>0.9600000000000001</v>
      </c>
      <c r="AB637" s="24">
        <f t="shared" si="78"/>
        <v>3.2300000000000004</v>
      </c>
      <c r="AC637" s="24">
        <f t="shared" si="78"/>
        <v>0.08099999999999999</v>
      </c>
      <c r="AD637" s="93">
        <f t="shared" si="73"/>
        <v>4.755000000000001</v>
      </c>
      <c r="AE637" s="11"/>
      <c r="AF637" s="24">
        <f aca="true" t="shared" si="79" ref="AF637:AU637">SUM(AF606:AF636)</f>
        <v>0</v>
      </c>
      <c r="AG637" s="24">
        <f t="shared" si="79"/>
        <v>0</v>
      </c>
      <c r="AH637" s="24">
        <f t="shared" si="79"/>
        <v>0</v>
      </c>
      <c r="AI637" s="24">
        <f t="shared" si="79"/>
        <v>0</v>
      </c>
      <c r="AJ637" s="24">
        <f t="shared" si="79"/>
        <v>0</v>
      </c>
      <c r="AK637" s="24">
        <f t="shared" si="79"/>
        <v>0</v>
      </c>
      <c r="AL637" s="24">
        <f t="shared" si="79"/>
        <v>0</v>
      </c>
      <c r="AM637" s="24">
        <f t="shared" si="79"/>
        <v>0</v>
      </c>
      <c r="AN637" s="24">
        <f t="shared" si="79"/>
        <v>0</v>
      </c>
      <c r="AO637" s="24">
        <f t="shared" si="79"/>
        <v>0</v>
      </c>
      <c r="AP637" s="24">
        <f t="shared" si="79"/>
        <v>0.6390000000000001</v>
      </c>
      <c r="AQ637" s="24">
        <f t="shared" si="79"/>
        <v>1.6679999999999997</v>
      </c>
      <c r="AR637" s="24">
        <f t="shared" si="79"/>
        <v>0</v>
      </c>
      <c r="AS637" s="24">
        <f t="shared" si="79"/>
        <v>0</v>
      </c>
      <c r="AT637" s="24">
        <f t="shared" si="79"/>
        <v>0</v>
      </c>
      <c r="AU637" s="166">
        <f t="shared" si="79"/>
        <v>0.923</v>
      </c>
      <c r="AV637" s="192">
        <f>SUM(AF637:AU637)</f>
        <v>3.23</v>
      </c>
    </row>
    <row r="638" spans="3:48" ht="12.75">
      <c r="C638" s="7"/>
      <c r="D638" s="7"/>
      <c r="E638" s="285"/>
      <c r="F638" s="286"/>
      <c r="G638" s="333"/>
      <c r="H638" s="83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95"/>
      <c r="U638" s="155"/>
      <c r="V638" s="243"/>
      <c r="W638" s="30"/>
      <c r="X638" s="30"/>
      <c r="Y638" s="30"/>
      <c r="Z638" s="30"/>
      <c r="AA638" s="30"/>
      <c r="AB638" s="30"/>
      <c r="AC638" s="31"/>
      <c r="AD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</row>
    <row r="639" spans="3:48" ht="12.75">
      <c r="C639" s="7" t="s">
        <v>899</v>
      </c>
      <c r="D639" s="5"/>
      <c r="E639" s="267"/>
      <c r="F639" s="269"/>
      <c r="G639" s="333"/>
      <c r="H639" s="83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54"/>
      <c r="U639" s="155"/>
      <c r="V639" s="243"/>
      <c r="W639" s="30"/>
      <c r="X639" s="30"/>
      <c r="Y639" s="30"/>
      <c r="Z639" s="30"/>
      <c r="AA639" s="30"/>
      <c r="AB639" s="30"/>
      <c r="AC639" s="31"/>
      <c r="AD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</row>
    <row r="640" spans="2:48" ht="12.75">
      <c r="B640" s="78" t="s">
        <v>1164</v>
      </c>
      <c r="C640" s="45" t="s">
        <v>720</v>
      </c>
      <c r="D640" s="174">
        <f>0.5+0.016</f>
        <v>0.516</v>
      </c>
      <c r="E640" s="267"/>
      <c r="F640" s="269"/>
      <c r="G640" s="9"/>
      <c r="H640" s="83">
        <v>0.041</v>
      </c>
      <c r="I640" s="12">
        <v>0.041</v>
      </c>
      <c r="J640" s="12">
        <v>0.041</v>
      </c>
      <c r="K640" s="12">
        <v>0.041</v>
      </c>
      <c r="L640" s="12">
        <v>0.042</v>
      </c>
      <c r="M640" s="12">
        <v>0.042</v>
      </c>
      <c r="N640" s="12">
        <v>0.042</v>
      </c>
      <c r="O640" s="12">
        <v>0.042</v>
      </c>
      <c r="P640" s="12">
        <v>0.042</v>
      </c>
      <c r="Q640" s="12">
        <v>0.042</v>
      </c>
      <c r="R640" s="12">
        <v>0.042</v>
      </c>
      <c r="S640" s="12">
        <v>0.042</v>
      </c>
      <c r="T640" s="154">
        <f>SUM(H640:L640)</f>
        <v>0.20600000000000002</v>
      </c>
      <c r="U640" s="155"/>
      <c r="V640" s="243"/>
      <c r="W640" s="30"/>
      <c r="X640" s="30"/>
      <c r="Y640" s="30"/>
      <c r="Z640" s="30"/>
      <c r="AA640" s="30">
        <f>0.5+0.016</f>
        <v>0.516</v>
      </c>
      <c r="AB640" s="30">
        <f aca="true" t="shared" si="80" ref="AB640:AB658">SUM(AF640:AU640)</f>
        <v>0</v>
      </c>
      <c r="AC640" s="31"/>
      <c r="AD640" s="31">
        <f aca="true" t="shared" si="81" ref="AD640:AD659">SUM(W640:AC640)</f>
        <v>0.516</v>
      </c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>
        <f>SUM(AF640:AU640)</f>
        <v>0</v>
      </c>
    </row>
    <row r="641" spans="2:48" ht="12.75">
      <c r="B641" s="78" t="s">
        <v>1165</v>
      </c>
      <c r="C641" s="45" t="s">
        <v>816</v>
      </c>
      <c r="D641" s="174">
        <f>1.713+0.3+0.212</f>
        <v>2.225</v>
      </c>
      <c r="E641" s="267"/>
      <c r="F641" s="269"/>
      <c r="G641" s="9"/>
      <c r="H641" s="83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>
        <v>2.225</v>
      </c>
      <c r="T641" s="154">
        <f>SUM(H641:L641)</f>
        <v>0</v>
      </c>
      <c r="U641" s="155"/>
      <c r="V641" s="243"/>
      <c r="W641" s="30"/>
      <c r="X641" s="30"/>
      <c r="Y641" s="30"/>
      <c r="Z641" s="30"/>
      <c r="AA641" s="30">
        <f>2.013+0.212</f>
        <v>2.225</v>
      </c>
      <c r="AB641" s="30">
        <f>SUM(AF641:AU641)</f>
        <v>0</v>
      </c>
      <c r="AC641" s="31"/>
      <c r="AD641" s="31">
        <f t="shared" si="81"/>
        <v>2.225</v>
      </c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>
        <f aca="true" t="shared" si="82" ref="AV641:AV658">SUM(AF641:AU641)</f>
        <v>0</v>
      </c>
    </row>
    <row r="642" spans="1:48" ht="12.75">
      <c r="A642" s="11" t="s">
        <v>251</v>
      </c>
      <c r="B642" s="78" t="s">
        <v>1166</v>
      </c>
      <c r="C642" s="5" t="s">
        <v>869</v>
      </c>
      <c r="D642" s="5">
        <f>0.2-0.036</f>
        <v>0.164</v>
      </c>
      <c r="E642" s="267"/>
      <c r="F642" s="269"/>
      <c r="G642" s="9">
        <v>0.143</v>
      </c>
      <c r="H642" s="83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54">
        <f aca="true" t="shared" si="83" ref="T642:T658">D642/12*5</f>
        <v>0.06833333333333333</v>
      </c>
      <c r="U642" s="155"/>
      <c r="V642" s="243"/>
      <c r="W642" s="30"/>
      <c r="X642" s="30"/>
      <c r="Y642" s="30">
        <f>0.2-0.036</f>
        <v>0.164</v>
      </c>
      <c r="Z642" s="30"/>
      <c r="AA642" s="30"/>
      <c r="AB642" s="30">
        <f t="shared" si="80"/>
        <v>0</v>
      </c>
      <c r="AC642" s="31">
        <f>0.186-0.186</f>
        <v>0</v>
      </c>
      <c r="AD642" s="31">
        <f t="shared" si="81"/>
        <v>0.164</v>
      </c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>
        <f t="shared" si="82"/>
        <v>0</v>
      </c>
    </row>
    <row r="643" spans="1:49" ht="12.75">
      <c r="A643" s="78"/>
      <c r="B643" s="27" t="s">
        <v>1167</v>
      </c>
      <c r="C643" s="5" t="s">
        <v>870</v>
      </c>
      <c r="D643" s="5">
        <v>0.186</v>
      </c>
      <c r="E643" s="267"/>
      <c r="F643" s="269"/>
      <c r="G643" s="9"/>
      <c r="H643" s="83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54">
        <f t="shared" si="83"/>
        <v>0.0775</v>
      </c>
      <c r="U643" s="155"/>
      <c r="V643" s="243"/>
      <c r="W643" s="30"/>
      <c r="X643" s="30"/>
      <c r="Y643" s="30"/>
      <c r="Z643" s="30"/>
      <c r="AA643" s="30"/>
      <c r="AB643" s="30">
        <f t="shared" si="80"/>
        <v>0</v>
      </c>
      <c r="AC643" s="31">
        <v>0.186</v>
      </c>
      <c r="AD643" s="31">
        <f t="shared" si="81"/>
        <v>0.186</v>
      </c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>
        <f t="shared" si="82"/>
        <v>0</v>
      </c>
      <c r="AW643" s="27" t="s">
        <v>856</v>
      </c>
    </row>
    <row r="644" spans="1:48" ht="12.75" hidden="1">
      <c r="A644" s="78"/>
      <c r="C644" s="5"/>
      <c r="D644" s="5"/>
      <c r="E644" s="267"/>
      <c r="F644" s="269"/>
      <c r="G644" s="9"/>
      <c r="H644" s="83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54">
        <f t="shared" si="83"/>
        <v>0</v>
      </c>
      <c r="U644" s="155"/>
      <c r="V644" s="243"/>
      <c r="W644" s="30"/>
      <c r="X644" s="30"/>
      <c r="Y644" s="30"/>
      <c r="Z644" s="30"/>
      <c r="AA644" s="30"/>
      <c r="AB644" s="30">
        <f t="shared" si="80"/>
        <v>0</v>
      </c>
      <c r="AC644" s="31"/>
      <c r="AD644" s="31">
        <f t="shared" si="81"/>
        <v>0</v>
      </c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>
        <f t="shared" si="82"/>
        <v>0</v>
      </c>
    </row>
    <row r="645" spans="2:48" ht="12.75" hidden="1">
      <c r="B645" s="78"/>
      <c r="C645" s="5"/>
      <c r="D645" s="5"/>
      <c r="E645" s="267"/>
      <c r="F645" s="269"/>
      <c r="G645" s="9"/>
      <c r="H645" s="83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54">
        <f t="shared" si="83"/>
        <v>0</v>
      </c>
      <c r="U645" s="155"/>
      <c r="V645" s="243"/>
      <c r="W645" s="30"/>
      <c r="X645" s="30"/>
      <c r="Y645" s="30"/>
      <c r="Z645" s="30"/>
      <c r="AA645" s="30"/>
      <c r="AB645" s="30">
        <f t="shared" si="80"/>
        <v>0</v>
      </c>
      <c r="AC645" s="31"/>
      <c r="AD645" s="31">
        <f t="shared" si="81"/>
        <v>0</v>
      </c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>
        <f t="shared" si="82"/>
        <v>0</v>
      </c>
    </row>
    <row r="646" spans="2:48" ht="12.75" hidden="1">
      <c r="B646" s="78"/>
      <c r="C646" s="5"/>
      <c r="D646" s="5"/>
      <c r="E646" s="267"/>
      <c r="F646" s="269"/>
      <c r="G646" s="9"/>
      <c r="H646" s="83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54">
        <f t="shared" si="83"/>
        <v>0</v>
      </c>
      <c r="U646" s="155"/>
      <c r="V646" s="243"/>
      <c r="W646" s="30"/>
      <c r="X646" s="30"/>
      <c r="Y646" s="30"/>
      <c r="Z646" s="30"/>
      <c r="AA646" s="30"/>
      <c r="AB646" s="30">
        <f t="shared" si="80"/>
        <v>0</v>
      </c>
      <c r="AC646" s="31"/>
      <c r="AD646" s="31">
        <f t="shared" si="81"/>
        <v>0</v>
      </c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>
        <f t="shared" si="82"/>
        <v>0</v>
      </c>
    </row>
    <row r="647" spans="3:48" ht="12.75" hidden="1">
      <c r="C647" s="5"/>
      <c r="D647" s="9"/>
      <c r="E647" s="279"/>
      <c r="F647" s="280"/>
      <c r="G647" s="9"/>
      <c r="H647" s="83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54">
        <f t="shared" si="83"/>
        <v>0</v>
      </c>
      <c r="U647" s="155"/>
      <c r="V647" s="243"/>
      <c r="W647" s="30"/>
      <c r="X647" s="30"/>
      <c r="Y647" s="30"/>
      <c r="Z647" s="30"/>
      <c r="AA647" s="30"/>
      <c r="AB647" s="30">
        <f t="shared" si="80"/>
        <v>0</v>
      </c>
      <c r="AC647" s="31"/>
      <c r="AD647" s="31">
        <f t="shared" si="81"/>
        <v>0</v>
      </c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>
        <f t="shared" si="82"/>
        <v>0</v>
      </c>
    </row>
    <row r="648" spans="3:48" ht="12.75" hidden="1">
      <c r="C648" s="5"/>
      <c r="D648" s="9"/>
      <c r="E648" s="279"/>
      <c r="F648" s="280"/>
      <c r="G648" s="9"/>
      <c r="H648" s="83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54">
        <f t="shared" si="83"/>
        <v>0</v>
      </c>
      <c r="U648" s="155"/>
      <c r="V648" s="243"/>
      <c r="W648" s="30"/>
      <c r="X648" s="30"/>
      <c r="Y648" s="30"/>
      <c r="Z648" s="30"/>
      <c r="AA648" s="30"/>
      <c r="AB648" s="30">
        <f t="shared" si="80"/>
        <v>0</v>
      </c>
      <c r="AC648" s="31"/>
      <c r="AD648" s="31">
        <f t="shared" si="81"/>
        <v>0</v>
      </c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>
        <f t="shared" si="82"/>
        <v>0</v>
      </c>
    </row>
    <row r="649" spans="3:48" ht="12.75" hidden="1">
      <c r="C649" s="5"/>
      <c r="D649" s="9"/>
      <c r="E649" s="279"/>
      <c r="F649" s="280"/>
      <c r="G649" s="9"/>
      <c r="H649" s="83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54">
        <f t="shared" si="83"/>
        <v>0</v>
      </c>
      <c r="U649" s="155"/>
      <c r="V649" s="243"/>
      <c r="W649" s="30"/>
      <c r="X649" s="30"/>
      <c r="Y649" s="30"/>
      <c r="Z649" s="30"/>
      <c r="AA649" s="30"/>
      <c r="AB649" s="30">
        <f t="shared" si="80"/>
        <v>0</v>
      </c>
      <c r="AC649" s="31"/>
      <c r="AD649" s="31">
        <f t="shared" si="81"/>
        <v>0</v>
      </c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>
        <f t="shared" si="82"/>
        <v>0</v>
      </c>
    </row>
    <row r="650" spans="3:48" ht="12.75" hidden="1">
      <c r="C650" s="5"/>
      <c r="D650" s="9"/>
      <c r="E650" s="279"/>
      <c r="F650" s="280"/>
      <c r="G650" s="9"/>
      <c r="H650" s="83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54">
        <f t="shared" si="83"/>
        <v>0</v>
      </c>
      <c r="U650" s="155"/>
      <c r="V650" s="243"/>
      <c r="W650" s="30"/>
      <c r="X650" s="30"/>
      <c r="Y650" s="30"/>
      <c r="Z650" s="30"/>
      <c r="AA650" s="30"/>
      <c r="AB650" s="30">
        <f t="shared" si="80"/>
        <v>0</v>
      </c>
      <c r="AC650" s="31"/>
      <c r="AD650" s="31">
        <f t="shared" si="81"/>
        <v>0</v>
      </c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>
        <f t="shared" si="82"/>
        <v>0</v>
      </c>
    </row>
    <row r="651" spans="2:48" ht="12.75">
      <c r="B651" s="27" t="s">
        <v>1168</v>
      </c>
      <c r="C651" s="5" t="s">
        <v>928</v>
      </c>
      <c r="D651" s="9">
        <f>0.019+0.145-0.019</f>
        <v>0.145</v>
      </c>
      <c r="E651" s="279"/>
      <c r="F651" s="280"/>
      <c r="G651" s="9"/>
      <c r="H651" s="83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54">
        <f t="shared" si="83"/>
        <v>0.06041666666666667</v>
      </c>
      <c r="U651" s="155"/>
      <c r="V651" s="243"/>
      <c r="W651" s="30"/>
      <c r="X651" s="30"/>
      <c r="Y651" s="30">
        <f>0.019+0.145-0.019</f>
        <v>0.145</v>
      </c>
      <c r="Z651" s="30"/>
      <c r="AA651" s="30"/>
      <c r="AB651" s="30">
        <f t="shared" si="80"/>
        <v>0</v>
      </c>
      <c r="AC651" s="31"/>
      <c r="AD651" s="31">
        <f t="shared" si="81"/>
        <v>0.145</v>
      </c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</row>
    <row r="652" spans="2:48" ht="12.75">
      <c r="B652" s="27" t="s">
        <v>1171</v>
      </c>
      <c r="C652" s="5" t="s">
        <v>929</v>
      </c>
      <c r="D652" s="9">
        <v>0.045</v>
      </c>
      <c r="E652" s="279"/>
      <c r="F652" s="280"/>
      <c r="G652" s="9"/>
      <c r="H652" s="83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54">
        <f t="shared" si="83"/>
        <v>0.01875</v>
      </c>
      <c r="U652" s="155"/>
      <c r="V652" s="243"/>
      <c r="W652" s="30"/>
      <c r="X652" s="30"/>
      <c r="Y652" s="30"/>
      <c r="Z652" s="30"/>
      <c r="AA652" s="30">
        <v>0.045</v>
      </c>
      <c r="AB652" s="30">
        <f t="shared" si="80"/>
        <v>0</v>
      </c>
      <c r="AC652" s="31"/>
      <c r="AD652" s="31">
        <f t="shared" si="81"/>
        <v>0.045</v>
      </c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</row>
    <row r="653" spans="1:48" ht="12.75">
      <c r="A653" s="11" t="s">
        <v>251</v>
      </c>
      <c r="B653" s="27" t="s">
        <v>1169</v>
      </c>
      <c r="C653" s="5" t="s">
        <v>871</v>
      </c>
      <c r="D653" s="9">
        <f>0.134-0.011</f>
        <v>0.12300000000000001</v>
      </c>
      <c r="E653" s="279"/>
      <c r="F653" s="280"/>
      <c r="G653" s="9"/>
      <c r="H653" s="83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54">
        <f t="shared" si="83"/>
        <v>0.051250000000000004</v>
      </c>
      <c r="U653" s="155"/>
      <c r="V653" s="243"/>
      <c r="W653" s="30"/>
      <c r="X653" s="30"/>
      <c r="Y653" s="30">
        <f>0.134-0.011</f>
        <v>0.12300000000000001</v>
      </c>
      <c r="Z653" s="30"/>
      <c r="AA653" s="30"/>
      <c r="AB653" s="30">
        <f t="shared" si="80"/>
        <v>0</v>
      </c>
      <c r="AC653" s="31"/>
      <c r="AD653" s="31">
        <f t="shared" si="81"/>
        <v>0.12300000000000001</v>
      </c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>
        <f t="shared" si="82"/>
        <v>0</v>
      </c>
    </row>
    <row r="654" spans="2:48" ht="12.75">
      <c r="B654" s="27" t="s">
        <v>877</v>
      </c>
      <c r="C654" s="5" t="s">
        <v>879</v>
      </c>
      <c r="D654" s="9">
        <v>0.03</v>
      </c>
      <c r="E654" s="279"/>
      <c r="F654" s="280"/>
      <c r="G654" s="9"/>
      <c r="H654" s="83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54">
        <f t="shared" si="83"/>
        <v>0.0125</v>
      </c>
      <c r="U654" s="155"/>
      <c r="V654" s="243"/>
      <c r="W654" s="30"/>
      <c r="X654" s="30"/>
      <c r="Y654" s="30"/>
      <c r="Z654" s="30"/>
      <c r="AA654" s="30">
        <v>0.03</v>
      </c>
      <c r="AB654" s="30">
        <f t="shared" si="80"/>
        <v>0</v>
      </c>
      <c r="AC654" s="31"/>
      <c r="AD654" s="31">
        <f t="shared" si="81"/>
        <v>0.03</v>
      </c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</row>
    <row r="655" spans="2:48" ht="12.75">
      <c r="B655" s="27" t="s">
        <v>878</v>
      </c>
      <c r="C655" s="5" t="s">
        <v>880</v>
      </c>
      <c r="D655" s="9">
        <v>0.1</v>
      </c>
      <c r="E655" s="279"/>
      <c r="F655" s="280"/>
      <c r="G655" s="9"/>
      <c r="H655" s="83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54">
        <f t="shared" si="83"/>
        <v>0.041666666666666664</v>
      </c>
      <c r="U655" s="155"/>
      <c r="V655" s="243"/>
      <c r="W655" s="30"/>
      <c r="X655" s="30"/>
      <c r="Y655" s="30"/>
      <c r="Z655" s="30"/>
      <c r="AA655" s="30">
        <v>0.1</v>
      </c>
      <c r="AB655" s="30">
        <f t="shared" si="80"/>
        <v>0</v>
      </c>
      <c r="AC655" s="31"/>
      <c r="AD655" s="31">
        <f t="shared" si="81"/>
        <v>0.1</v>
      </c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</row>
    <row r="656" spans="1:48" ht="12.75">
      <c r="A656" s="27" t="s">
        <v>927</v>
      </c>
      <c r="B656" s="27" t="s">
        <v>1172</v>
      </c>
      <c r="C656" s="5" t="s">
        <v>926</v>
      </c>
      <c r="D656" s="9">
        <v>0.039</v>
      </c>
      <c r="E656" s="279"/>
      <c r="F656" s="280"/>
      <c r="G656" s="9"/>
      <c r="H656" s="83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>
        <v>0.039</v>
      </c>
      <c r="T656" s="154">
        <f>SUM(H656:L656)</f>
        <v>0</v>
      </c>
      <c r="U656" s="155"/>
      <c r="V656" s="243"/>
      <c r="W656" s="30"/>
      <c r="X656" s="30"/>
      <c r="Y656" s="30"/>
      <c r="Z656" s="30"/>
      <c r="AA656" s="30">
        <v>0.039</v>
      </c>
      <c r="AB656" s="30">
        <f t="shared" si="80"/>
        <v>0</v>
      </c>
      <c r="AC656" s="31"/>
      <c r="AD656" s="31">
        <f t="shared" si="81"/>
        <v>0.039</v>
      </c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</row>
    <row r="657" spans="2:48" ht="12.75">
      <c r="B657" s="27" t="s">
        <v>492</v>
      </c>
      <c r="C657" s="5" t="s">
        <v>491</v>
      </c>
      <c r="D657" s="9"/>
      <c r="E657" s="279"/>
      <c r="F657" s="280"/>
      <c r="G657" s="9">
        <v>0.002</v>
      </c>
      <c r="H657" s="83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54">
        <f t="shared" si="83"/>
        <v>0</v>
      </c>
      <c r="U657" s="155"/>
      <c r="V657" s="243"/>
      <c r="W657" s="30"/>
      <c r="X657" s="30"/>
      <c r="Y657" s="30"/>
      <c r="Z657" s="30"/>
      <c r="AA657" s="30"/>
      <c r="AB657" s="30">
        <f t="shared" si="80"/>
        <v>0</v>
      </c>
      <c r="AC657" s="31"/>
      <c r="AD657" s="31">
        <f t="shared" si="81"/>
        <v>0</v>
      </c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</row>
    <row r="658" spans="2:49" ht="13.5" thickBot="1">
      <c r="B658" s="27" t="s">
        <v>1170</v>
      </c>
      <c r="C658" s="5" t="s">
        <v>713</v>
      </c>
      <c r="D658" s="9">
        <v>0.15</v>
      </c>
      <c r="E658" s="279"/>
      <c r="F658" s="280"/>
      <c r="G658" s="9"/>
      <c r="H658" s="83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54">
        <f t="shared" si="83"/>
        <v>0.06249999999999999</v>
      </c>
      <c r="U658" s="155"/>
      <c r="V658" s="243"/>
      <c r="W658" s="30"/>
      <c r="X658" s="30"/>
      <c r="Y658" s="30"/>
      <c r="Z658" s="30"/>
      <c r="AA658" s="30"/>
      <c r="AB658" s="30">
        <f t="shared" si="80"/>
        <v>0.15</v>
      </c>
      <c r="AC658" s="31"/>
      <c r="AD658" s="31">
        <f t="shared" si="81"/>
        <v>0.15</v>
      </c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>
        <v>0.15</v>
      </c>
      <c r="AV658" s="31">
        <f t="shared" si="82"/>
        <v>0.15</v>
      </c>
      <c r="AW658" s="27" t="s">
        <v>872</v>
      </c>
    </row>
    <row r="659" spans="3:48" ht="13.5" thickBot="1">
      <c r="C659" s="7" t="s">
        <v>900</v>
      </c>
      <c r="D659" s="19">
        <f>SUM(D639:D658)</f>
        <v>3.7230000000000003</v>
      </c>
      <c r="E659" s="277"/>
      <c r="F659" s="278"/>
      <c r="G659" s="19">
        <f>SUM(G639:G658)</f>
        <v>0.145</v>
      </c>
      <c r="H659" s="89">
        <f aca="true" t="shared" si="84" ref="H659:S659">SUM(H640:H658)</f>
        <v>0.041</v>
      </c>
      <c r="I659" s="90">
        <f t="shared" si="84"/>
        <v>0.041</v>
      </c>
      <c r="J659" s="90">
        <f t="shared" si="84"/>
        <v>0.041</v>
      </c>
      <c r="K659" s="90">
        <f t="shared" si="84"/>
        <v>0.041</v>
      </c>
      <c r="L659" s="90">
        <f t="shared" si="84"/>
        <v>0.042</v>
      </c>
      <c r="M659" s="90">
        <f t="shared" si="84"/>
        <v>0.042</v>
      </c>
      <c r="N659" s="90">
        <f t="shared" si="84"/>
        <v>0.042</v>
      </c>
      <c r="O659" s="90">
        <f t="shared" si="84"/>
        <v>0.042</v>
      </c>
      <c r="P659" s="90">
        <f t="shared" si="84"/>
        <v>0.042</v>
      </c>
      <c r="Q659" s="90">
        <f t="shared" si="84"/>
        <v>0.042</v>
      </c>
      <c r="R659" s="90">
        <f t="shared" si="84"/>
        <v>0.042</v>
      </c>
      <c r="S659" s="90">
        <f t="shared" si="84"/>
        <v>2.306</v>
      </c>
      <c r="T659" s="197">
        <f>SUM(T640:T658)</f>
        <v>0.5989166666666667</v>
      </c>
      <c r="U659" s="155"/>
      <c r="V659" s="243"/>
      <c r="W659" s="166">
        <f aca="true" t="shared" si="85" ref="W659:AC659">SUM(W639:W658)</f>
        <v>0</v>
      </c>
      <c r="X659" s="22">
        <f t="shared" si="85"/>
        <v>0</v>
      </c>
      <c r="Y659" s="22">
        <f t="shared" si="85"/>
        <v>0.432</v>
      </c>
      <c r="Z659" s="22">
        <f t="shared" si="85"/>
        <v>0</v>
      </c>
      <c r="AA659" s="22">
        <f t="shared" si="85"/>
        <v>2.955</v>
      </c>
      <c r="AB659" s="22">
        <f t="shared" si="85"/>
        <v>0.15</v>
      </c>
      <c r="AC659" s="22">
        <f t="shared" si="85"/>
        <v>0.186</v>
      </c>
      <c r="AD659" s="93">
        <f t="shared" si="81"/>
        <v>3.723</v>
      </c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193">
        <f>SUM(AU640:AU658)</f>
        <v>0.15</v>
      </c>
      <c r="AV659" s="178">
        <f>SUM(AF659:AU659)</f>
        <v>0.15</v>
      </c>
    </row>
    <row r="660" spans="3:48" ht="12.75">
      <c r="C660" s="7"/>
      <c r="D660" s="7"/>
      <c r="E660" s="285"/>
      <c r="F660" s="286"/>
      <c r="G660" s="9"/>
      <c r="H660" s="83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95"/>
      <c r="U660" s="155"/>
      <c r="V660" s="243"/>
      <c r="W660" s="30"/>
      <c r="X660" s="30"/>
      <c r="Y660" s="30"/>
      <c r="Z660" s="30"/>
      <c r="AA660" s="30"/>
      <c r="AB660" s="30"/>
      <c r="AC660" s="31"/>
      <c r="AD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</row>
    <row r="661" spans="3:48" ht="12.75">
      <c r="C661" s="7" t="s">
        <v>853</v>
      </c>
      <c r="D661" s="7"/>
      <c r="E661" s="285"/>
      <c r="F661" s="286"/>
      <c r="G661" s="9"/>
      <c r="H661" s="83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54"/>
      <c r="U661" s="155"/>
      <c r="V661" s="243"/>
      <c r="W661" s="30"/>
      <c r="X661" s="30"/>
      <c r="Y661" s="30"/>
      <c r="Z661" s="30"/>
      <c r="AA661" s="30"/>
      <c r="AB661" s="30"/>
      <c r="AC661" s="31"/>
      <c r="AD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</row>
    <row r="662" spans="3:48" ht="12.75">
      <c r="C662" s="45" t="s">
        <v>722</v>
      </c>
      <c r="D662" s="174">
        <v>0.363</v>
      </c>
      <c r="E662" s="279"/>
      <c r="F662" s="280"/>
      <c r="G662" s="9">
        <v>0.044</v>
      </c>
      <c r="H662" s="83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54">
        <f>D662/12*5</f>
        <v>0.15125</v>
      </c>
      <c r="U662" s="155"/>
      <c r="V662" s="243"/>
      <c r="W662" s="30"/>
      <c r="X662" s="30"/>
      <c r="Y662" s="30"/>
      <c r="Z662" s="30"/>
      <c r="AA662" s="30"/>
      <c r="AB662" s="30">
        <f>SUM(AF662:AU662)</f>
        <v>0.363</v>
      </c>
      <c r="AC662" s="31"/>
      <c r="AD662" s="31">
        <f aca="true" t="shared" si="86" ref="AD662:AD670">SUM(W662:AC662)</f>
        <v>0.363</v>
      </c>
      <c r="AF662" s="31"/>
      <c r="AG662" s="31"/>
      <c r="AH662" s="31"/>
      <c r="AI662" s="31"/>
      <c r="AJ662" s="31"/>
      <c r="AK662" s="31"/>
      <c r="AL662" s="31"/>
      <c r="AM662" s="31"/>
      <c r="AN662" s="31"/>
      <c r="AO662" s="31">
        <v>0.163</v>
      </c>
      <c r="AP662" s="31">
        <v>0.2</v>
      </c>
      <c r="AQ662" s="31"/>
      <c r="AR662" s="31"/>
      <c r="AS662" s="31"/>
      <c r="AT662" s="31"/>
      <c r="AU662" s="31"/>
      <c r="AV662" s="31">
        <f>SUM(AF662:AU662)</f>
        <v>0.363</v>
      </c>
    </row>
    <row r="663" spans="3:48" ht="12.75">
      <c r="C663" s="45" t="s">
        <v>707</v>
      </c>
      <c r="D663" s="174">
        <v>8.126</v>
      </c>
      <c r="E663" s="279"/>
      <c r="F663" s="280"/>
      <c r="G663" s="9">
        <v>0.023</v>
      </c>
      <c r="H663" s="83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54">
        <f aca="true" t="shared" si="87" ref="T663:T679">D663/12*5</f>
        <v>3.385833333333333</v>
      </c>
      <c r="U663" s="155"/>
      <c r="V663" s="243"/>
      <c r="W663" s="30"/>
      <c r="X663" s="30"/>
      <c r="Y663" s="30">
        <v>6</v>
      </c>
      <c r="Z663" s="30"/>
      <c r="AA663" s="30"/>
      <c r="AB663" s="30">
        <f aca="true" t="shared" si="88" ref="AB663:AB697">SUM(AF663:AU663)</f>
        <v>2.126</v>
      </c>
      <c r="AC663" s="31"/>
      <c r="AD663" s="31">
        <f t="shared" si="86"/>
        <v>8.126</v>
      </c>
      <c r="AF663" s="31"/>
      <c r="AG663" s="31"/>
      <c r="AH663" s="31"/>
      <c r="AI663" s="31"/>
      <c r="AJ663" s="31"/>
      <c r="AK663" s="31"/>
      <c r="AL663" s="31"/>
      <c r="AM663" s="31"/>
      <c r="AN663" s="31"/>
      <c r="AO663" s="31">
        <v>1.962</v>
      </c>
      <c r="AP663" s="31">
        <v>0.164</v>
      </c>
      <c r="AQ663" s="31"/>
      <c r="AR663" s="31"/>
      <c r="AS663" s="31"/>
      <c r="AT663" s="31"/>
      <c r="AU663" s="31"/>
      <c r="AV663" s="31">
        <f aca="true" t="shared" si="89" ref="AV663:AV690">SUM(AF663:AU663)</f>
        <v>2.126</v>
      </c>
    </row>
    <row r="664" spans="3:48" ht="12.75">
      <c r="C664" s="45" t="s">
        <v>724</v>
      </c>
      <c r="D664" s="175">
        <v>0.8</v>
      </c>
      <c r="E664" s="279"/>
      <c r="F664" s="280"/>
      <c r="G664" s="9"/>
      <c r="H664" s="83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54">
        <f t="shared" si="87"/>
        <v>0.3333333333333333</v>
      </c>
      <c r="U664" s="155"/>
      <c r="V664" s="243"/>
      <c r="W664" s="30"/>
      <c r="X664" s="30"/>
      <c r="Y664" s="30"/>
      <c r="Z664" s="30"/>
      <c r="AA664" s="30"/>
      <c r="AB664" s="30">
        <f t="shared" si="88"/>
        <v>0.8</v>
      </c>
      <c r="AC664" s="31"/>
      <c r="AD664" s="31">
        <f t="shared" si="86"/>
        <v>0.8</v>
      </c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>
        <v>0.8</v>
      </c>
      <c r="AQ664" s="31"/>
      <c r="AR664" s="31"/>
      <c r="AS664" s="31"/>
      <c r="AT664" s="31"/>
      <c r="AU664" s="31"/>
      <c r="AV664" s="31">
        <f t="shared" si="89"/>
        <v>0.8</v>
      </c>
    </row>
    <row r="665" spans="3:49" ht="12.75">
      <c r="C665" s="45" t="s">
        <v>890</v>
      </c>
      <c r="D665" s="175">
        <v>0.05</v>
      </c>
      <c r="E665" s="279"/>
      <c r="F665" s="280"/>
      <c r="G665" s="9">
        <v>0.021</v>
      </c>
      <c r="H665" s="83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54">
        <f t="shared" si="87"/>
        <v>0.020833333333333332</v>
      </c>
      <c r="U665" s="155"/>
      <c r="V665" s="243"/>
      <c r="W665" s="30"/>
      <c r="X665" s="30"/>
      <c r="Y665" s="30"/>
      <c r="Z665" s="30"/>
      <c r="AA665" s="30">
        <v>0.05</v>
      </c>
      <c r="AB665" s="30">
        <f t="shared" si="88"/>
        <v>0</v>
      </c>
      <c r="AC665" s="31"/>
      <c r="AD665" s="31">
        <f t="shared" si="86"/>
        <v>0.05</v>
      </c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>
        <f t="shared" si="89"/>
        <v>0</v>
      </c>
      <c r="AW665" s="27" t="s">
        <v>265</v>
      </c>
    </row>
    <row r="666" spans="3:48" ht="12.75">
      <c r="C666" s="45" t="s">
        <v>891</v>
      </c>
      <c r="D666" s="175"/>
      <c r="E666" s="279"/>
      <c r="F666" s="280"/>
      <c r="G666" s="9">
        <v>0.063</v>
      </c>
      <c r="H666" s="83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54">
        <f t="shared" si="87"/>
        <v>0</v>
      </c>
      <c r="U666" s="155"/>
      <c r="V666" s="243"/>
      <c r="W666" s="30"/>
      <c r="X666" s="30"/>
      <c r="Y666" s="30"/>
      <c r="Z666" s="30"/>
      <c r="AA666" s="30"/>
      <c r="AB666" s="30">
        <f t="shared" si="88"/>
        <v>0</v>
      </c>
      <c r="AC666" s="31"/>
      <c r="AD666" s="31">
        <f t="shared" si="86"/>
        <v>0</v>
      </c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>
        <f t="shared" si="89"/>
        <v>0</v>
      </c>
    </row>
    <row r="667" spans="3:48" ht="12.75">
      <c r="C667" s="45" t="s">
        <v>823</v>
      </c>
      <c r="D667" s="175">
        <v>0.64</v>
      </c>
      <c r="E667" s="279"/>
      <c r="F667" s="280"/>
      <c r="G667" s="9"/>
      <c r="H667" s="83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54">
        <f t="shared" si="87"/>
        <v>0.26666666666666666</v>
      </c>
      <c r="U667" s="155"/>
      <c r="V667" s="243"/>
      <c r="W667" s="30"/>
      <c r="X667" s="30"/>
      <c r="Y667" s="30"/>
      <c r="Z667" s="30"/>
      <c r="AA667" s="30"/>
      <c r="AB667" s="30">
        <f t="shared" si="88"/>
        <v>0.64</v>
      </c>
      <c r="AC667" s="31"/>
      <c r="AD667" s="31">
        <f t="shared" si="86"/>
        <v>0.64</v>
      </c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>
        <v>0.61</v>
      </c>
      <c r="AQ667" s="31"/>
      <c r="AR667" s="31"/>
      <c r="AS667" s="31"/>
      <c r="AT667" s="31"/>
      <c r="AU667" s="31">
        <v>0.03</v>
      </c>
      <c r="AV667" s="31">
        <f t="shared" si="89"/>
        <v>0.64</v>
      </c>
    </row>
    <row r="668" spans="3:48" ht="12.75">
      <c r="C668" s="45" t="s">
        <v>726</v>
      </c>
      <c r="D668" s="175">
        <v>0.1</v>
      </c>
      <c r="E668" s="279"/>
      <c r="F668" s="280"/>
      <c r="G668" s="9"/>
      <c r="H668" s="83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54">
        <f t="shared" si="87"/>
        <v>0.041666666666666664</v>
      </c>
      <c r="U668" s="155"/>
      <c r="V668" s="243"/>
      <c r="W668" s="30"/>
      <c r="X668" s="30"/>
      <c r="Y668" s="30"/>
      <c r="Z668" s="30"/>
      <c r="AA668" s="30"/>
      <c r="AB668" s="30">
        <f t="shared" si="88"/>
        <v>0.05</v>
      </c>
      <c r="AC668" s="31">
        <v>0.05</v>
      </c>
      <c r="AD668" s="31">
        <f t="shared" si="86"/>
        <v>0.1</v>
      </c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>
        <v>0.05</v>
      </c>
      <c r="AQ668" s="31"/>
      <c r="AR668" s="31"/>
      <c r="AS668" s="31"/>
      <c r="AT668" s="31"/>
      <c r="AU668" s="31"/>
      <c r="AV668" s="31">
        <f t="shared" si="89"/>
        <v>0.05</v>
      </c>
    </row>
    <row r="669" spans="3:48" ht="12.75">
      <c r="C669" s="45" t="s">
        <v>727</v>
      </c>
      <c r="D669" s="175">
        <v>0.026</v>
      </c>
      <c r="E669" s="279"/>
      <c r="F669" s="280"/>
      <c r="G669" s="9"/>
      <c r="H669" s="83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54">
        <f t="shared" si="87"/>
        <v>0.010833333333333334</v>
      </c>
      <c r="U669" s="155"/>
      <c r="V669" s="243"/>
      <c r="W669" s="30"/>
      <c r="X669" s="30"/>
      <c r="Y669" s="30"/>
      <c r="Z669" s="164"/>
      <c r="AA669" s="30"/>
      <c r="AB669" s="314">
        <f t="shared" si="88"/>
        <v>0.026</v>
      </c>
      <c r="AC669" s="31"/>
      <c r="AD669" s="31">
        <f t="shared" si="86"/>
        <v>0.026</v>
      </c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>
        <v>0.026</v>
      </c>
      <c r="AQ669" s="31"/>
      <c r="AR669" s="31"/>
      <c r="AS669" s="31"/>
      <c r="AT669" s="31"/>
      <c r="AU669" s="31"/>
      <c r="AV669" s="31">
        <f t="shared" si="89"/>
        <v>0.026</v>
      </c>
    </row>
    <row r="670" spans="3:48" ht="12.75">
      <c r="C670" s="45" t="s">
        <v>728</v>
      </c>
      <c r="D670" s="175">
        <v>0.078</v>
      </c>
      <c r="E670" s="279"/>
      <c r="F670" s="280"/>
      <c r="G670" s="9">
        <v>0.007</v>
      </c>
      <c r="H670" s="83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54">
        <f t="shared" si="87"/>
        <v>0.0325</v>
      </c>
      <c r="U670" s="155"/>
      <c r="V670" s="243"/>
      <c r="W670" s="30"/>
      <c r="X670" s="30"/>
      <c r="Y670" s="30"/>
      <c r="Z670" s="164"/>
      <c r="AA670" s="30"/>
      <c r="AB670" s="314">
        <f t="shared" si="88"/>
        <v>0.078</v>
      </c>
      <c r="AC670" s="31"/>
      <c r="AD670" s="31">
        <f t="shared" si="86"/>
        <v>0.078</v>
      </c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>
        <v>0.078</v>
      </c>
      <c r="AQ670" s="31"/>
      <c r="AR670" s="31"/>
      <c r="AS670" s="31"/>
      <c r="AT670" s="31"/>
      <c r="AU670" s="31"/>
      <c r="AV670" s="31">
        <f t="shared" si="89"/>
        <v>0.078</v>
      </c>
    </row>
    <row r="671" spans="3:48" ht="12.75">
      <c r="C671" s="174" t="s">
        <v>554</v>
      </c>
      <c r="D671" s="191"/>
      <c r="E671" s="143"/>
      <c r="F671" s="143"/>
      <c r="G671" s="9"/>
      <c r="H671" s="83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54">
        <f t="shared" si="87"/>
        <v>0</v>
      </c>
      <c r="U671" s="155"/>
      <c r="V671" s="243"/>
      <c r="W671" s="30"/>
      <c r="X671" s="30"/>
      <c r="Y671" s="30"/>
      <c r="Z671" s="164"/>
      <c r="AA671" s="315"/>
      <c r="AB671" s="314">
        <f t="shared" si="88"/>
        <v>0</v>
      </c>
      <c r="AC671" s="31"/>
      <c r="AD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>
        <f>SUM(AF671:AU671)</f>
        <v>0</v>
      </c>
    </row>
    <row r="672" spans="3:48" ht="12.75">
      <c r="C672" s="307" t="s">
        <v>555</v>
      </c>
      <c r="D672" s="191">
        <v>0.15</v>
      </c>
      <c r="E672" s="143"/>
      <c r="F672" s="143"/>
      <c r="G672" s="9"/>
      <c r="H672" s="83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54">
        <f t="shared" si="87"/>
        <v>0.06249999999999999</v>
      </c>
      <c r="U672" s="155"/>
      <c r="V672" s="243"/>
      <c r="W672" s="30"/>
      <c r="X672" s="30"/>
      <c r="Y672" s="30"/>
      <c r="Z672" s="30"/>
      <c r="AA672" s="80">
        <v>0.15</v>
      </c>
      <c r="AB672" s="314">
        <f t="shared" si="88"/>
        <v>0</v>
      </c>
      <c r="AC672" s="31"/>
      <c r="AD672" s="31">
        <f aca="true" t="shared" si="90" ref="AD672:AD697">SUM(W672:AC672)</f>
        <v>0.15</v>
      </c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</row>
    <row r="673" spans="3:48" ht="12.75">
      <c r="C673" s="307" t="s">
        <v>556</v>
      </c>
      <c r="D673" s="191">
        <v>0.07</v>
      </c>
      <c r="E673" s="143"/>
      <c r="F673" s="143"/>
      <c r="G673" s="9"/>
      <c r="H673" s="83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54">
        <f t="shared" si="87"/>
        <v>0.029166666666666667</v>
      </c>
      <c r="U673" s="155"/>
      <c r="V673" s="243"/>
      <c r="W673" s="30"/>
      <c r="X673" s="30"/>
      <c r="Y673" s="30"/>
      <c r="Z673" s="30"/>
      <c r="AA673" s="80">
        <v>0.07</v>
      </c>
      <c r="AB673" s="314">
        <f t="shared" si="88"/>
        <v>0</v>
      </c>
      <c r="AC673" s="31"/>
      <c r="AD673" s="31">
        <f t="shared" si="90"/>
        <v>0.07</v>
      </c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</row>
    <row r="674" spans="3:48" ht="12.75">
      <c r="C674" s="307" t="s">
        <v>557</v>
      </c>
      <c r="D674" s="191">
        <v>0.05</v>
      </c>
      <c r="E674" s="143"/>
      <c r="F674" s="143"/>
      <c r="G674" s="9"/>
      <c r="H674" s="83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54">
        <f t="shared" si="87"/>
        <v>0.020833333333333332</v>
      </c>
      <c r="U674" s="155"/>
      <c r="V674" s="243"/>
      <c r="W674" s="30"/>
      <c r="X674" s="30"/>
      <c r="Y674" s="30"/>
      <c r="Z674" s="30"/>
      <c r="AA674" s="80">
        <v>0.05</v>
      </c>
      <c r="AB674" s="314">
        <f t="shared" si="88"/>
        <v>0</v>
      </c>
      <c r="AC674" s="31"/>
      <c r="AD674" s="31">
        <f t="shared" si="90"/>
        <v>0.05</v>
      </c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</row>
    <row r="675" spans="3:48" ht="12.75">
      <c r="C675" s="307" t="s">
        <v>558</v>
      </c>
      <c r="D675" s="191">
        <v>0.05</v>
      </c>
      <c r="E675" s="143"/>
      <c r="F675" s="143"/>
      <c r="G675" s="9"/>
      <c r="H675" s="83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54">
        <f t="shared" si="87"/>
        <v>0.020833333333333332</v>
      </c>
      <c r="U675" s="155"/>
      <c r="V675" s="243"/>
      <c r="W675" s="30"/>
      <c r="X675" s="30"/>
      <c r="Y675" s="30"/>
      <c r="Z675" s="30"/>
      <c r="AA675" s="80">
        <v>0.05</v>
      </c>
      <c r="AB675" s="314">
        <f t="shared" si="88"/>
        <v>0</v>
      </c>
      <c r="AC675" s="31"/>
      <c r="AD675" s="31">
        <f t="shared" si="90"/>
        <v>0.05</v>
      </c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</row>
    <row r="676" spans="3:48" ht="12.75">
      <c r="C676" s="307" t="s">
        <v>559</v>
      </c>
      <c r="D676" s="191">
        <v>0.18</v>
      </c>
      <c r="E676" s="143"/>
      <c r="F676" s="143"/>
      <c r="G676" s="9"/>
      <c r="H676" s="83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54">
        <f t="shared" si="87"/>
        <v>0.075</v>
      </c>
      <c r="U676" s="155"/>
      <c r="V676" s="243"/>
      <c r="W676" s="30"/>
      <c r="X676" s="30"/>
      <c r="Y676" s="30"/>
      <c r="Z676" s="30"/>
      <c r="AA676" s="80">
        <v>0.18</v>
      </c>
      <c r="AB676" s="314">
        <f t="shared" si="88"/>
        <v>0</v>
      </c>
      <c r="AC676" s="31"/>
      <c r="AD676" s="31">
        <f t="shared" si="90"/>
        <v>0.18</v>
      </c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</row>
    <row r="677" spans="2:48" ht="12.75">
      <c r="B677" s="27" t="s">
        <v>371</v>
      </c>
      <c r="C677" s="307" t="s">
        <v>608</v>
      </c>
      <c r="D677" s="191">
        <v>0.179</v>
      </c>
      <c r="E677" s="143"/>
      <c r="F677" s="143"/>
      <c r="G677" s="9">
        <v>0.003</v>
      </c>
      <c r="H677" s="83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54">
        <f t="shared" si="87"/>
        <v>0.07458333333333333</v>
      </c>
      <c r="U677" s="155"/>
      <c r="V677" s="243"/>
      <c r="W677" s="30"/>
      <c r="X677" s="30"/>
      <c r="Y677" s="30"/>
      <c r="Z677" s="30"/>
      <c r="AA677" s="80">
        <v>0.179</v>
      </c>
      <c r="AB677" s="314">
        <f t="shared" si="88"/>
        <v>0</v>
      </c>
      <c r="AC677" s="31"/>
      <c r="AD677" s="31">
        <f t="shared" si="90"/>
        <v>0.179</v>
      </c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</row>
    <row r="678" spans="3:49" ht="12.75">
      <c r="C678" s="45" t="s">
        <v>903</v>
      </c>
      <c r="D678" s="175">
        <v>0.244</v>
      </c>
      <c r="E678" s="279"/>
      <c r="F678" s="280"/>
      <c r="G678" s="9">
        <v>0.001</v>
      </c>
      <c r="H678" s="83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54">
        <f t="shared" si="87"/>
        <v>0.10166666666666666</v>
      </c>
      <c r="U678" s="155"/>
      <c r="V678" s="243"/>
      <c r="W678" s="30"/>
      <c r="X678" s="30"/>
      <c r="Y678" s="30"/>
      <c r="Z678" s="30"/>
      <c r="AA678" s="30">
        <v>0.08</v>
      </c>
      <c r="AB678" s="314">
        <f t="shared" si="88"/>
        <v>0.164</v>
      </c>
      <c r="AC678" s="31"/>
      <c r="AD678" s="31">
        <f t="shared" si="90"/>
        <v>0.244</v>
      </c>
      <c r="AF678" s="31"/>
      <c r="AG678" s="31"/>
      <c r="AH678" s="31"/>
      <c r="AI678" s="31"/>
      <c r="AJ678" s="31"/>
      <c r="AK678" s="31"/>
      <c r="AL678" s="31"/>
      <c r="AM678" s="31"/>
      <c r="AN678" s="31">
        <v>0.064</v>
      </c>
      <c r="AO678" s="31"/>
      <c r="AP678" s="31"/>
      <c r="AQ678" s="31"/>
      <c r="AR678" s="31"/>
      <c r="AS678" s="31"/>
      <c r="AT678" s="31"/>
      <c r="AU678" s="31">
        <v>0.1</v>
      </c>
      <c r="AV678" s="31">
        <f t="shared" si="89"/>
        <v>0.164</v>
      </c>
      <c r="AW678" s="27" t="s">
        <v>235</v>
      </c>
    </row>
    <row r="679" spans="3:48" ht="12.75">
      <c r="C679" s="45" t="s">
        <v>729</v>
      </c>
      <c r="D679" s="175">
        <v>0.165</v>
      </c>
      <c r="E679" s="279"/>
      <c r="F679" s="280"/>
      <c r="G679" s="9"/>
      <c r="H679" s="83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54">
        <f t="shared" si="87"/>
        <v>0.06875</v>
      </c>
      <c r="U679" s="155"/>
      <c r="V679" s="243"/>
      <c r="W679" s="30"/>
      <c r="X679" s="30"/>
      <c r="Y679" s="30"/>
      <c r="Z679" s="30"/>
      <c r="AA679" s="30"/>
      <c r="AB679" s="314">
        <f t="shared" si="88"/>
        <v>0.165</v>
      </c>
      <c r="AC679" s="31"/>
      <c r="AD679" s="31">
        <f t="shared" si="90"/>
        <v>0.165</v>
      </c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>
        <v>0.165</v>
      </c>
      <c r="AQ679" s="31"/>
      <c r="AR679" s="31"/>
      <c r="AS679" s="31"/>
      <c r="AT679" s="31"/>
      <c r="AU679" s="31"/>
      <c r="AV679" s="31">
        <f t="shared" si="89"/>
        <v>0.165</v>
      </c>
    </row>
    <row r="680" spans="3:48" ht="12.75" hidden="1">
      <c r="C680" s="5"/>
      <c r="D680" s="9"/>
      <c r="E680" s="279"/>
      <c r="F680" s="280"/>
      <c r="G680" s="9"/>
      <c r="H680" s="83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54">
        <f aca="true" t="shared" si="91" ref="T680:T697">D680/12</f>
        <v>0</v>
      </c>
      <c r="U680" s="155"/>
      <c r="V680" s="243"/>
      <c r="W680" s="30"/>
      <c r="X680" s="30"/>
      <c r="Y680" s="30"/>
      <c r="Z680" s="30"/>
      <c r="AA680" s="30"/>
      <c r="AB680" s="30">
        <f t="shared" si="88"/>
        <v>0</v>
      </c>
      <c r="AC680" s="31"/>
      <c r="AD680" s="31">
        <f t="shared" si="90"/>
        <v>0</v>
      </c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Q680" s="31"/>
      <c r="AR680" s="31"/>
      <c r="AS680" s="31"/>
      <c r="AT680" s="31"/>
      <c r="AU680" s="31"/>
      <c r="AV680" s="31">
        <f t="shared" si="89"/>
        <v>0</v>
      </c>
    </row>
    <row r="681" spans="3:48" ht="12.75" hidden="1">
      <c r="C681" s="5"/>
      <c r="D681" s="9"/>
      <c r="E681" s="279"/>
      <c r="F681" s="280"/>
      <c r="G681" s="9"/>
      <c r="H681" s="83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54">
        <f t="shared" si="91"/>
        <v>0</v>
      </c>
      <c r="U681" s="155"/>
      <c r="V681" s="243"/>
      <c r="W681" s="30"/>
      <c r="X681" s="30"/>
      <c r="Y681" s="30"/>
      <c r="Z681" s="30"/>
      <c r="AA681" s="30"/>
      <c r="AB681" s="30">
        <f t="shared" si="88"/>
        <v>0</v>
      </c>
      <c r="AC681" s="31"/>
      <c r="AD681" s="31">
        <f t="shared" si="90"/>
        <v>0</v>
      </c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Q681" s="31"/>
      <c r="AR681" s="31"/>
      <c r="AS681" s="31"/>
      <c r="AT681" s="31"/>
      <c r="AU681" s="31"/>
      <c r="AV681" s="31">
        <f t="shared" si="89"/>
        <v>0</v>
      </c>
    </row>
    <row r="682" spans="3:48" ht="12.75" hidden="1">
      <c r="C682" s="5"/>
      <c r="D682" s="9"/>
      <c r="E682" s="279"/>
      <c r="F682" s="280"/>
      <c r="G682" s="9"/>
      <c r="H682" s="83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54">
        <f t="shared" si="91"/>
        <v>0</v>
      </c>
      <c r="U682" s="155"/>
      <c r="V682" s="243"/>
      <c r="W682" s="30"/>
      <c r="X682" s="30"/>
      <c r="Y682" s="30"/>
      <c r="Z682" s="30"/>
      <c r="AA682" s="30"/>
      <c r="AB682" s="30">
        <f t="shared" si="88"/>
        <v>0</v>
      </c>
      <c r="AC682" s="31"/>
      <c r="AD682" s="31">
        <f t="shared" si="90"/>
        <v>0</v>
      </c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Q682" s="31"/>
      <c r="AR682" s="31"/>
      <c r="AS682" s="31"/>
      <c r="AT682" s="31"/>
      <c r="AU682" s="31"/>
      <c r="AV682" s="31">
        <f t="shared" si="89"/>
        <v>0</v>
      </c>
    </row>
    <row r="683" spans="3:48" ht="12.75" hidden="1">
      <c r="C683" s="5"/>
      <c r="D683" s="9"/>
      <c r="E683" s="279"/>
      <c r="F683" s="280"/>
      <c r="G683" s="9"/>
      <c r="H683" s="83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54">
        <f t="shared" si="91"/>
        <v>0</v>
      </c>
      <c r="U683" s="155"/>
      <c r="V683" s="243"/>
      <c r="W683" s="30"/>
      <c r="X683" s="30"/>
      <c r="Y683" s="30"/>
      <c r="Z683" s="30"/>
      <c r="AA683" s="30"/>
      <c r="AB683" s="30">
        <f t="shared" si="88"/>
        <v>0</v>
      </c>
      <c r="AC683" s="31"/>
      <c r="AD683" s="31">
        <f t="shared" si="90"/>
        <v>0</v>
      </c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Q683" s="31"/>
      <c r="AR683" s="31"/>
      <c r="AS683" s="31"/>
      <c r="AT683" s="31"/>
      <c r="AU683" s="31"/>
      <c r="AV683" s="31">
        <f t="shared" si="89"/>
        <v>0</v>
      </c>
    </row>
    <row r="684" spans="3:48" ht="12.75" hidden="1">
      <c r="C684" s="5"/>
      <c r="D684" s="9"/>
      <c r="E684" s="279"/>
      <c r="F684" s="280"/>
      <c r="G684" s="9"/>
      <c r="H684" s="83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54">
        <f t="shared" si="91"/>
        <v>0</v>
      </c>
      <c r="U684" s="155"/>
      <c r="V684" s="243"/>
      <c r="W684" s="30"/>
      <c r="X684" s="30"/>
      <c r="Y684" s="30"/>
      <c r="Z684" s="30"/>
      <c r="AA684" s="30"/>
      <c r="AB684" s="30">
        <f t="shared" si="88"/>
        <v>0</v>
      </c>
      <c r="AC684" s="31"/>
      <c r="AD684" s="31">
        <f t="shared" si="90"/>
        <v>0</v>
      </c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Q684" s="31"/>
      <c r="AS684" s="31"/>
      <c r="AT684" s="31"/>
      <c r="AU684" s="31"/>
      <c r="AV684" s="31">
        <f t="shared" si="89"/>
        <v>0</v>
      </c>
    </row>
    <row r="685" spans="3:48" ht="12.75" hidden="1">
      <c r="C685" s="5"/>
      <c r="D685" s="9"/>
      <c r="E685" s="279"/>
      <c r="F685" s="280"/>
      <c r="G685" s="9"/>
      <c r="H685" s="83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54">
        <f t="shared" si="91"/>
        <v>0</v>
      </c>
      <c r="U685" s="155"/>
      <c r="V685" s="243"/>
      <c r="W685" s="30"/>
      <c r="X685" s="30"/>
      <c r="Y685" s="30"/>
      <c r="Z685" s="30"/>
      <c r="AA685" s="30"/>
      <c r="AB685" s="30">
        <f t="shared" si="88"/>
        <v>0</v>
      </c>
      <c r="AC685" s="31"/>
      <c r="AD685" s="31">
        <f t="shared" si="90"/>
        <v>0</v>
      </c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Q685" s="31"/>
      <c r="AS685" s="31"/>
      <c r="AT685" s="31"/>
      <c r="AU685" s="31"/>
      <c r="AV685" s="31">
        <f t="shared" si="89"/>
        <v>0</v>
      </c>
    </row>
    <row r="686" spans="3:48" ht="12.75" hidden="1">
      <c r="C686" s="5"/>
      <c r="D686" s="9"/>
      <c r="E686" s="279"/>
      <c r="F686" s="280"/>
      <c r="G686" s="9"/>
      <c r="H686" s="83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54">
        <f t="shared" si="91"/>
        <v>0</v>
      </c>
      <c r="U686" s="155"/>
      <c r="V686" s="243"/>
      <c r="W686" s="30"/>
      <c r="X686" s="30"/>
      <c r="Y686" s="30"/>
      <c r="Z686" s="30"/>
      <c r="AA686" s="30"/>
      <c r="AB686" s="30">
        <f t="shared" si="88"/>
        <v>0</v>
      </c>
      <c r="AC686" s="31"/>
      <c r="AD686" s="31">
        <f t="shared" si="90"/>
        <v>0</v>
      </c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Q686" s="31"/>
      <c r="AS686" s="31"/>
      <c r="AT686" s="31"/>
      <c r="AU686" s="31"/>
      <c r="AV686" s="31">
        <f t="shared" si="89"/>
        <v>0</v>
      </c>
    </row>
    <row r="687" spans="3:48" ht="12.75" hidden="1">
      <c r="C687" s="5"/>
      <c r="D687" s="9"/>
      <c r="E687" s="279"/>
      <c r="F687" s="280"/>
      <c r="G687" s="9"/>
      <c r="H687" s="83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54">
        <f t="shared" si="91"/>
        <v>0</v>
      </c>
      <c r="U687" s="155"/>
      <c r="V687" s="243"/>
      <c r="W687" s="30"/>
      <c r="X687" s="30"/>
      <c r="Y687" s="30"/>
      <c r="Z687" s="30"/>
      <c r="AA687" s="30"/>
      <c r="AB687" s="30">
        <f t="shared" si="88"/>
        <v>0</v>
      </c>
      <c r="AC687" s="31"/>
      <c r="AD687" s="31">
        <f t="shared" si="90"/>
        <v>0</v>
      </c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Q687" s="31"/>
      <c r="AR687" s="31"/>
      <c r="AS687" s="31"/>
      <c r="AT687" s="31"/>
      <c r="AU687" s="31"/>
      <c r="AV687" s="31">
        <f t="shared" si="89"/>
        <v>0</v>
      </c>
    </row>
    <row r="688" spans="3:48" ht="12.75" hidden="1">
      <c r="C688" s="5"/>
      <c r="D688" s="9"/>
      <c r="E688" s="279"/>
      <c r="F688" s="280"/>
      <c r="G688" s="9"/>
      <c r="H688" s="83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54">
        <f t="shared" si="91"/>
        <v>0</v>
      </c>
      <c r="U688" s="155"/>
      <c r="V688" s="243"/>
      <c r="W688" s="30"/>
      <c r="Y688" s="30"/>
      <c r="Z688" s="30"/>
      <c r="AA688" s="30"/>
      <c r="AB688" s="30">
        <f t="shared" si="88"/>
        <v>0</v>
      </c>
      <c r="AC688" s="31"/>
      <c r="AD688" s="31">
        <f t="shared" si="90"/>
        <v>0</v>
      </c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Q688" s="31"/>
      <c r="AR688" s="31"/>
      <c r="AS688" s="31"/>
      <c r="AT688" s="31"/>
      <c r="AU688" s="31"/>
      <c r="AV688" s="31">
        <f t="shared" si="89"/>
        <v>0</v>
      </c>
    </row>
    <row r="689" spans="3:48" ht="12.75" hidden="1">
      <c r="C689" s="5"/>
      <c r="D689" s="9"/>
      <c r="E689" s="279"/>
      <c r="F689" s="280"/>
      <c r="G689" s="9"/>
      <c r="H689" s="83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54">
        <f t="shared" si="91"/>
        <v>0</v>
      </c>
      <c r="U689" s="155"/>
      <c r="V689" s="243"/>
      <c r="W689" s="30"/>
      <c r="X689" s="30"/>
      <c r="Y689" s="30"/>
      <c r="Z689" s="30"/>
      <c r="AA689" s="30"/>
      <c r="AB689" s="30">
        <f t="shared" si="88"/>
        <v>0</v>
      </c>
      <c r="AC689" s="31"/>
      <c r="AD689" s="31">
        <f t="shared" si="90"/>
        <v>0</v>
      </c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Q689" s="31"/>
      <c r="AR689" s="31"/>
      <c r="AS689" s="31"/>
      <c r="AT689" s="31"/>
      <c r="AU689" s="31"/>
      <c r="AV689" s="31">
        <f t="shared" si="89"/>
        <v>0</v>
      </c>
    </row>
    <row r="690" spans="3:48" ht="12.75" hidden="1">
      <c r="C690" s="5"/>
      <c r="D690" s="9"/>
      <c r="E690" s="279"/>
      <c r="F690" s="280"/>
      <c r="G690" s="5"/>
      <c r="H690" s="83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54">
        <f t="shared" si="91"/>
        <v>0</v>
      </c>
      <c r="U690" s="155"/>
      <c r="V690" s="243"/>
      <c r="W690" s="30"/>
      <c r="X690" s="30"/>
      <c r="Y690" s="30"/>
      <c r="Z690" s="30"/>
      <c r="AA690" s="30"/>
      <c r="AB690" s="30">
        <f t="shared" si="88"/>
        <v>0</v>
      </c>
      <c r="AC690" s="31"/>
      <c r="AD690" s="31">
        <f t="shared" si="90"/>
        <v>0</v>
      </c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>
        <f t="shared" si="89"/>
        <v>0</v>
      </c>
    </row>
    <row r="691" spans="3:48" ht="12.75" hidden="1">
      <c r="C691" s="5"/>
      <c r="D691" s="9"/>
      <c r="E691" s="279"/>
      <c r="F691" s="280"/>
      <c r="G691" s="9"/>
      <c r="H691" s="83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54">
        <f t="shared" si="91"/>
        <v>0</v>
      </c>
      <c r="U691" s="155"/>
      <c r="V691" s="243"/>
      <c r="W691" s="30"/>
      <c r="X691" s="30"/>
      <c r="Y691" s="30"/>
      <c r="Z691" s="30"/>
      <c r="AA691" s="30"/>
      <c r="AB691" s="30">
        <f t="shared" si="88"/>
        <v>0</v>
      </c>
      <c r="AC691" s="31"/>
      <c r="AD691" s="31">
        <f t="shared" si="90"/>
        <v>0</v>
      </c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>
        <f aca="true" t="shared" si="92" ref="AV691:AV697">SUM(AF691:AU691)</f>
        <v>0</v>
      </c>
    </row>
    <row r="692" spans="3:48" ht="12.75" hidden="1">
      <c r="C692" s="5"/>
      <c r="D692" s="9"/>
      <c r="E692" s="279"/>
      <c r="F692" s="280"/>
      <c r="G692" s="9"/>
      <c r="H692" s="83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54">
        <f t="shared" si="91"/>
        <v>0</v>
      </c>
      <c r="U692" s="155"/>
      <c r="V692" s="243"/>
      <c r="W692" s="30"/>
      <c r="X692" s="30"/>
      <c r="Y692" s="30"/>
      <c r="Z692" s="30"/>
      <c r="AA692" s="30"/>
      <c r="AB692" s="30">
        <f t="shared" si="88"/>
        <v>0</v>
      </c>
      <c r="AC692" s="31"/>
      <c r="AD692" s="31">
        <f t="shared" si="90"/>
        <v>0</v>
      </c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>
        <f t="shared" si="92"/>
        <v>0</v>
      </c>
    </row>
    <row r="693" spans="3:48" ht="12.75" hidden="1">
      <c r="C693" s="5"/>
      <c r="D693" s="9"/>
      <c r="E693" s="279"/>
      <c r="F693" s="280"/>
      <c r="G693" s="9"/>
      <c r="H693" s="83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54">
        <f t="shared" si="91"/>
        <v>0</v>
      </c>
      <c r="U693" s="155"/>
      <c r="V693" s="243"/>
      <c r="W693" s="30"/>
      <c r="X693" s="30"/>
      <c r="Y693" s="30"/>
      <c r="Z693" s="30"/>
      <c r="AA693" s="30"/>
      <c r="AB693" s="30">
        <f t="shared" si="88"/>
        <v>0</v>
      </c>
      <c r="AC693" s="31"/>
      <c r="AD693" s="31">
        <f t="shared" si="90"/>
        <v>0</v>
      </c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>
        <f t="shared" si="92"/>
        <v>0</v>
      </c>
    </row>
    <row r="694" spans="3:48" ht="12.75" hidden="1">
      <c r="C694" s="5"/>
      <c r="D694" s="9"/>
      <c r="E694" s="279"/>
      <c r="F694" s="280"/>
      <c r="G694" s="9"/>
      <c r="H694" s="83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54">
        <f t="shared" si="91"/>
        <v>0</v>
      </c>
      <c r="U694" s="155"/>
      <c r="V694" s="243"/>
      <c r="W694" s="30"/>
      <c r="X694" s="30"/>
      <c r="Y694" s="30"/>
      <c r="Z694" s="30"/>
      <c r="AA694" s="30"/>
      <c r="AB694" s="30">
        <f t="shared" si="88"/>
        <v>0</v>
      </c>
      <c r="AC694" s="31"/>
      <c r="AD694" s="31">
        <f t="shared" si="90"/>
        <v>0</v>
      </c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>
        <f t="shared" si="92"/>
        <v>0</v>
      </c>
    </row>
    <row r="695" spans="3:48" ht="12.75" hidden="1">
      <c r="C695" s="5"/>
      <c r="D695" s="9"/>
      <c r="E695" s="279"/>
      <c r="F695" s="280"/>
      <c r="G695" s="9"/>
      <c r="H695" s="83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54">
        <f t="shared" si="91"/>
        <v>0</v>
      </c>
      <c r="U695" s="155"/>
      <c r="V695" s="243"/>
      <c r="W695" s="30"/>
      <c r="X695" s="30"/>
      <c r="Y695" s="30"/>
      <c r="Z695" s="30"/>
      <c r="AA695" s="30"/>
      <c r="AB695" s="30">
        <f t="shared" si="88"/>
        <v>0</v>
      </c>
      <c r="AC695" s="31"/>
      <c r="AD695" s="31">
        <f t="shared" si="90"/>
        <v>0</v>
      </c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>
        <f t="shared" si="92"/>
        <v>0</v>
      </c>
    </row>
    <row r="696" spans="3:48" ht="12.75" hidden="1">
      <c r="C696" s="5"/>
      <c r="D696" s="9"/>
      <c r="E696" s="279"/>
      <c r="F696" s="280"/>
      <c r="G696" s="9"/>
      <c r="H696" s="83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54">
        <f t="shared" si="91"/>
        <v>0</v>
      </c>
      <c r="U696" s="155"/>
      <c r="V696" s="243"/>
      <c r="W696" s="30"/>
      <c r="X696" s="30"/>
      <c r="Y696" s="30"/>
      <c r="Z696" s="30"/>
      <c r="AA696" s="30"/>
      <c r="AB696" s="30">
        <f t="shared" si="88"/>
        <v>0</v>
      </c>
      <c r="AC696" s="31"/>
      <c r="AD696" s="31">
        <f t="shared" si="90"/>
        <v>0</v>
      </c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>
        <f t="shared" si="92"/>
        <v>0</v>
      </c>
    </row>
    <row r="697" spans="3:48" ht="12.75" hidden="1">
      <c r="C697" s="5"/>
      <c r="D697" s="9"/>
      <c r="E697" s="279"/>
      <c r="F697" s="280"/>
      <c r="G697" s="9"/>
      <c r="H697" s="83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54">
        <f t="shared" si="91"/>
        <v>0</v>
      </c>
      <c r="U697" s="155"/>
      <c r="V697" s="243"/>
      <c r="W697" s="30"/>
      <c r="X697" s="30"/>
      <c r="Y697" s="30"/>
      <c r="Z697" s="30"/>
      <c r="AA697" s="30"/>
      <c r="AB697" s="30">
        <f t="shared" si="88"/>
        <v>0</v>
      </c>
      <c r="AC697" s="31"/>
      <c r="AD697" s="31">
        <f t="shared" si="90"/>
        <v>0</v>
      </c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>
        <f t="shared" si="92"/>
        <v>0</v>
      </c>
    </row>
    <row r="698" spans="3:48" ht="13.5" thickBot="1">
      <c r="C698" s="5"/>
      <c r="D698" s="9"/>
      <c r="E698" s="279"/>
      <c r="F698" s="280"/>
      <c r="G698" s="9"/>
      <c r="H698" s="83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96"/>
      <c r="U698" s="155"/>
      <c r="V698" s="243"/>
      <c r="W698" s="30"/>
      <c r="X698" s="30"/>
      <c r="Y698" s="30"/>
      <c r="Z698" s="30"/>
      <c r="AA698" s="30"/>
      <c r="AB698" s="30"/>
      <c r="AC698" s="31"/>
      <c r="AD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</row>
    <row r="699" spans="3:48" ht="13.5" thickBot="1">
      <c r="C699" s="7" t="s">
        <v>854</v>
      </c>
      <c r="D699" s="19">
        <f>SUM(D662:D698)</f>
        <v>11.271</v>
      </c>
      <c r="E699" s="277"/>
      <c r="F699" s="278"/>
      <c r="G699" s="19">
        <f aca="true" t="shared" si="93" ref="G699:S699">SUM(G662:G698)</f>
        <v>0.16200000000000003</v>
      </c>
      <c r="H699" s="160">
        <f t="shared" si="93"/>
        <v>0</v>
      </c>
      <c r="I699" s="161">
        <f t="shared" si="93"/>
        <v>0</v>
      </c>
      <c r="J699" s="161">
        <f t="shared" si="93"/>
        <v>0</v>
      </c>
      <c r="K699" s="161">
        <f t="shared" si="93"/>
        <v>0</v>
      </c>
      <c r="L699" s="161">
        <f t="shared" si="93"/>
        <v>0</v>
      </c>
      <c r="M699" s="161">
        <f t="shared" si="93"/>
        <v>0</v>
      </c>
      <c r="N699" s="161">
        <f t="shared" si="93"/>
        <v>0</v>
      </c>
      <c r="O699" s="161">
        <f t="shared" si="93"/>
        <v>0</v>
      </c>
      <c r="P699" s="161">
        <f t="shared" si="93"/>
        <v>0</v>
      </c>
      <c r="Q699" s="161">
        <f t="shared" si="93"/>
        <v>0</v>
      </c>
      <c r="R699" s="161">
        <f t="shared" si="93"/>
        <v>0</v>
      </c>
      <c r="S699" s="161">
        <f t="shared" si="93"/>
        <v>0</v>
      </c>
      <c r="T699" s="197">
        <f>SUM(T662:T679)</f>
        <v>4.696249999999999</v>
      </c>
      <c r="U699" s="155"/>
      <c r="V699" s="243"/>
      <c r="W699" s="24">
        <f aca="true" t="shared" si="94" ref="W699:AD699">SUM(W662:W698)</f>
        <v>0</v>
      </c>
      <c r="X699" s="24">
        <f t="shared" si="94"/>
        <v>0</v>
      </c>
      <c r="Y699" s="24">
        <f t="shared" si="94"/>
        <v>6</v>
      </c>
      <c r="Z699" s="24">
        <f t="shared" si="94"/>
        <v>0</v>
      </c>
      <c r="AA699" s="24">
        <f t="shared" si="94"/>
        <v>0.809</v>
      </c>
      <c r="AB699" s="24">
        <f t="shared" si="94"/>
        <v>4.412</v>
      </c>
      <c r="AC699" s="24">
        <f t="shared" si="94"/>
        <v>0.05</v>
      </c>
      <c r="AD699" s="24">
        <f t="shared" si="94"/>
        <v>11.271</v>
      </c>
      <c r="AF699" s="24">
        <f aca="true" t="shared" si="95" ref="AF699:AV699">SUM(AF662:AF698)</f>
        <v>0</v>
      </c>
      <c r="AG699" s="24">
        <f t="shared" si="95"/>
        <v>0</v>
      </c>
      <c r="AH699" s="24">
        <f t="shared" si="95"/>
        <v>0</v>
      </c>
      <c r="AI699" s="24">
        <f t="shared" si="95"/>
        <v>0</v>
      </c>
      <c r="AJ699" s="24">
        <f t="shared" si="95"/>
        <v>0</v>
      </c>
      <c r="AK699" s="24">
        <f t="shared" si="95"/>
        <v>0</v>
      </c>
      <c r="AL699" s="24">
        <f t="shared" si="95"/>
        <v>0</v>
      </c>
      <c r="AM699" s="24">
        <f t="shared" si="95"/>
        <v>0</v>
      </c>
      <c r="AN699" s="24">
        <f t="shared" si="95"/>
        <v>0.064</v>
      </c>
      <c r="AO699" s="24">
        <f t="shared" si="95"/>
        <v>2.125</v>
      </c>
      <c r="AP699" s="24">
        <f t="shared" si="95"/>
        <v>2.093</v>
      </c>
      <c r="AQ699" s="24">
        <f t="shared" si="95"/>
        <v>0</v>
      </c>
      <c r="AR699" s="24">
        <f t="shared" si="95"/>
        <v>0</v>
      </c>
      <c r="AS699" s="24">
        <f t="shared" si="95"/>
        <v>0</v>
      </c>
      <c r="AT699" s="24">
        <f t="shared" si="95"/>
        <v>0</v>
      </c>
      <c r="AU699" s="24">
        <f t="shared" si="95"/>
        <v>0.13</v>
      </c>
      <c r="AV699" s="24">
        <f t="shared" si="95"/>
        <v>4.412</v>
      </c>
    </row>
    <row r="700" spans="3:48" ht="12.75">
      <c r="C700" s="5"/>
      <c r="D700" s="5"/>
      <c r="E700" s="267"/>
      <c r="F700" s="269"/>
      <c r="G700" s="9"/>
      <c r="H700" s="83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54"/>
      <c r="U700" s="155"/>
      <c r="V700" s="243"/>
      <c r="W700" s="30"/>
      <c r="X700" s="30"/>
      <c r="Y700" s="30"/>
      <c r="Z700" s="30"/>
      <c r="AA700" s="30"/>
      <c r="AB700" s="30"/>
      <c r="AC700" s="31"/>
      <c r="AD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</row>
    <row r="701" spans="3:48" ht="12.75">
      <c r="C701" s="7" t="s">
        <v>901</v>
      </c>
      <c r="D701" s="5"/>
      <c r="E701" s="267"/>
      <c r="F701" s="269"/>
      <c r="G701" s="9"/>
      <c r="H701" s="83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54"/>
      <c r="U701" s="155"/>
      <c r="V701" s="243"/>
      <c r="W701" s="30"/>
      <c r="X701" s="30"/>
      <c r="Y701" s="30"/>
      <c r="Z701" s="30"/>
      <c r="AA701" s="30"/>
      <c r="AB701" s="30"/>
      <c r="AC701" s="31"/>
      <c r="AD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</row>
    <row r="702" spans="2:48" ht="12.75">
      <c r="B702" s="27" t="s">
        <v>369</v>
      </c>
      <c r="C702" s="45" t="s">
        <v>730</v>
      </c>
      <c r="D702" s="174">
        <v>0.705</v>
      </c>
      <c r="E702" s="279"/>
      <c r="F702" s="280"/>
      <c r="G702" s="9">
        <v>0.062</v>
      </c>
      <c r="H702" s="83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54">
        <f>D702/12*5</f>
        <v>0.29374999999999996</v>
      </c>
      <c r="U702" s="155"/>
      <c r="V702" s="243"/>
      <c r="W702" s="30"/>
      <c r="X702" s="30"/>
      <c r="Y702" s="30">
        <v>0.667</v>
      </c>
      <c r="Z702" s="30"/>
      <c r="AA702" s="30">
        <v>0.038</v>
      </c>
      <c r="AB702" s="30">
        <f aca="true" t="shared" si="96" ref="AB702:AB774">SUM(AF702:AU702)</f>
        <v>0</v>
      </c>
      <c r="AC702" s="31"/>
      <c r="AD702" s="31">
        <f aca="true" t="shared" si="97" ref="AD702:AD742">SUM(W702:AC702)</f>
        <v>0.7050000000000001</v>
      </c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>
        <f aca="true" t="shared" si="98" ref="AV702:AV715">SUM(AF702:AU702)</f>
        <v>0</v>
      </c>
    </row>
    <row r="703" spans="3:49" ht="12.75">
      <c r="C703" s="45" t="s">
        <v>208</v>
      </c>
      <c r="D703" s="174">
        <f>2.8-2.8</f>
        <v>0</v>
      </c>
      <c r="E703" s="143"/>
      <c r="F703" s="143"/>
      <c r="G703" s="9"/>
      <c r="H703" s="83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54"/>
      <c r="U703" s="155"/>
      <c r="V703" s="243">
        <v>38537</v>
      </c>
      <c r="W703" s="30"/>
      <c r="X703" s="30"/>
      <c r="Y703" s="30"/>
      <c r="Z703" s="30"/>
      <c r="AA703" s="30">
        <f>2.8-2.8</f>
        <v>0</v>
      </c>
      <c r="AB703" s="30">
        <f t="shared" si="96"/>
        <v>0</v>
      </c>
      <c r="AC703" s="31"/>
      <c r="AD703" s="31">
        <f t="shared" si="97"/>
        <v>0</v>
      </c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27" t="s">
        <v>15</v>
      </c>
    </row>
    <row r="704" spans="3:48" ht="12.75">
      <c r="C704" s="45" t="s">
        <v>209</v>
      </c>
      <c r="D704" s="174">
        <v>0.3</v>
      </c>
      <c r="E704" s="143"/>
      <c r="F704" s="143"/>
      <c r="G704" s="9"/>
      <c r="H704" s="83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54"/>
      <c r="U704" s="155"/>
      <c r="V704" s="243"/>
      <c r="W704" s="30"/>
      <c r="X704" s="30"/>
      <c r="Y704" s="30"/>
      <c r="Z704" s="30"/>
      <c r="AA704" s="30">
        <v>0.3</v>
      </c>
      <c r="AB704" s="30">
        <f t="shared" si="96"/>
        <v>0</v>
      </c>
      <c r="AC704" s="31"/>
      <c r="AD704" s="31">
        <f t="shared" si="97"/>
        <v>0.3</v>
      </c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</row>
    <row r="705" spans="2:48" ht="12.75">
      <c r="B705" s="21" t="s">
        <v>368</v>
      </c>
      <c r="C705" s="45" t="s">
        <v>733</v>
      </c>
      <c r="D705" s="174">
        <v>0.595</v>
      </c>
      <c r="E705" s="270"/>
      <c r="F705" s="270"/>
      <c r="G705" s="5">
        <v>0.275</v>
      </c>
      <c r="H705" s="83"/>
      <c r="I705" s="12"/>
      <c r="J705" s="12">
        <v>0.074</v>
      </c>
      <c r="K705" s="12">
        <v>0.074</v>
      </c>
      <c r="L705" s="12">
        <v>0.075</v>
      </c>
      <c r="M705" s="12">
        <v>0.113</v>
      </c>
      <c r="N705" s="12">
        <v>0.113</v>
      </c>
      <c r="O705" s="12">
        <v>0.113</v>
      </c>
      <c r="P705" s="12"/>
      <c r="Q705" s="12"/>
      <c r="R705" s="12"/>
      <c r="S705" s="12">
        <v>0.013</v>
      </c>
      <c r="T705" s="154">
        <f>SUM(H705:L705)</f>
        <v>0.22299999999999998</v>
      </c>
      <c r="U705" s="155"/>
      <c r="V705" s="243">
        <v>38460</v>
      </c>
      <c r="W705" s="30"/>
      <c r="X705" s="30"/>
      <c r="Y705" s="30"/>
      <c r="Z705" s="30"/>
      <c r="AA705" s="30">
        <f>0.25+0.095</f>
        <v>0.345</v>
      </c>
      <c r="AB705" s="30">
        <f t="shared" si="96"/>
        <v>0</v>
      </c>
      <c r="AC705" s="31">
        <f>0.25</f>
        <v>0.25</v>
      </c>
      <c r="AD705" s="31">
        <f t="shared" si="97"/>
        <v>0.595</v>
      </c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>
        <f t="shared" si="98"/>
        <v>0</v>
      </c>
    </row>
    <row r="706" spans="2:48" ht="12.75">
      <c r="B706" s="21" t="s">
        <v>370</v>
      </c>
      <c r="C706" s="45" t="s">
        <v>734</v>
      </c>
      <c r="D706" s="174">
        <v>0.8</v>
      </c>
      <c r="E706" s="270"/>
      <c r="F706" s="270"/>
      <c r="G706" s="5">
        <v>0.006</v>
      </c>
      <c r="H706" s="83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54">
        <f>D706/12*5</f>
        <v>0.3333333333333333</v>
      </c>
      <c r="U706" s="155"/>
      <c r="V706" s="243"/>
      <c r="W706" s="30"/>
      <c r="X706" s="30"/>
      <c r="Y706" s="30"/>
      <c r="Z706" s="30"/>
      <c r="AA706" s="30">
        <v>0.7</v>
      </c>
      <c r="AB706" s="30">
        <f t="shared" si="96"/>
        <v>0</v>
      </c>
      <c r="AC706" s="31">
        <v>0.1</v>
      </c>
      <c r="AD706" s="31">
        <f t="shared" si="97"/>
        <v>0.7999999999999999</v>
      </c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>
        <f t="shared" si="98"/>
        <v>0</v>
      </c>
    </row>
    <row r="707" spans="2:48" ht="12.75">
      <c r="B707" s="21" t="s">
        <v>776</v>
      </c>
      <c r="C707" s="45" t="s">
        <v>737</v>
      </c>
      <c r="D707" s="174">
        <f>6.81-1.81</f>
        <v>5</v>
      </c>
      <c r="E707" s="270"/>
      <c r="F707" s="270"/>
      <c r="G707" s="5">
        <v>0.38</v>
      </c>
      <c r="H707" s="83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54">
        <f aca="true" t="shared" si="99" ref="T707:T713">D707/12*5</f>
        <v>2.0833333333333335</v>
      </c>
      <c r="U707" s="155"/>
      <c r="V707" s="243"/>
      <c r="W707" s="30"/>
      <c r="X707" s="30"/>
      <c r="Y707" s="30">
        <f>6.81-1.81</f>
        <v>5</v>
      </c>
      <c r="Z707" s="30"/>
      <c r="AA707" s="30"/>
      <c r="AB707" s="30">
        <f t="shared" si="96"/>
        <v>0</v>
      </c>
      <c r="AC707" s="31"/>
      <c r="AD707" s="31">
        <f t="shared" si="97"/>
        <v>5</v>
      </c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>
        <f t="shared" si="98"/>
        <v>0</v>
      </c>
    </row>
    <row r="708" spans="2:48" ht="12.75">
      <c r="B708" s="21"/>
      <c r="C708" s="45" t="s">
        <v>732</v>
      </c>
      <c r="D708" s="174">
        <v>0.589</v>
      </c>
      <c r="E708" s="270"/>
      <c r="F708" s="270"/>
      <c r="G708" s="5">
        <v>0.007</v>
      </c>
      <c r="H708" s="83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54">
        <f t="shared" si="99"/>
        <v>0.24541666666666667</v>
      </c>
      <c r="U708" s="155"/>
      <c r="V708" s="243"/>
      <c r="W708" s="30"/>
      <c r="X708" s="30"/>
      <c r="Y708" s="30"/>
      <c r="Z708" s="30"/>
      <c r="AA708" s="30">
        <v>0.589</v>
      </c>
      <c r="AB708" s="30">
        <f t="shared" si="96"/>
        <v>0</v>
      </c>
      <c r="AC708" s="31"/>
      <c r="AD708" s="31">
        <f t="shared" si="97"/>
        <v>0.589</v>
      </c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>
        <f t="shared" si="98"/>
        <v>0</v>
      </c>
    </row>
    <row r="709" spans="2:48" ht="12.75">
      <c r="B709" s="21"/>
      <c r="C709" s="45" t="s">
        <v>210</v>
      </c>
      <c r="D709" s="174">
        <v>0.03</v>
      </c>
      <c r="E709" s="270"/>
      <c r="F709" s="270"/>
      <c r="G709" s="5"/>
      <c r="H709" s="83"/>
      <c r="I709" s="12"/>
      <c r="J709" s="12"/>
      <c r="K709" s="12"/>
      <c r="L709" s="12">
        <v>0.03</v>
      </c>
      <c r="M709" s="12"/>
      <c r="N709" s="12"/>
      <c r="O709" s="12"/>
      <c r="P709" s="12"/>
      <c r="Q709" s="12"/>
      <c r="R709" s="12"/>
      <c r="S709" s="12"/>
      <c r="T709" s="154">
        <f t="shared" si="99"/>
        <v>0.0125</v>
      </c>
      <c r="U709" s="155"/>
      <c r="V709" s="243">
        <v>38530</v>
      </c>
      <c r="W709" s="30"/>
      <c r="X709" s="30"/>
      <c r="Y709" s="30"/>
      <c r="Z709" s="30"/>
      <c r="AA709" s="30">
        <v>0.03</v>
      </c>
      <c r="AB709" s="30">
        <f t="shared" si="96"/>
        <v>0</v>
      </c>
      <c r="AC709" s="31"/>
      <c r="AD709" s="31">
        <f t="shared" si="97"/>
        <v>0.03</v>
      </c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</row>
    <row r="710" spans="2:49" ht="12.75">
      <c r="B710" s="21" t="s">
        <v>490</v>
      </c>
      <c r="C710" s="45" t="s">
        <v>731</v>
      </c>
      <c r="D710" s="174">
        <f>0.277+0.118</f>
        <v>0.395</v>
      </c>
      <c r="E710" s="270"/>
      <c r="F710" s="270"/>
      <c r="G710" s="5">
        <f>0.001+0.223</f>
        <v>0.224</v>
      </c>
      <c r="H710" s="83">
        <v>0.023</v>
      </c>
      <c r="I710" s="12">
        <v>0.065</v>
      </c>
      <c r="J710" s="12">
        <v>0.085</v>
      </c>
      <c r="K710" s="12">
        <v>0.085</v>
      </c>
      <c r="L710" s="12">
        <v>0.08</v>
      </c>
      <c r="M710" s="12">
        <v>0.032</v>
      </c>
      <c r="N710" s="12">
        <v>0.012</v>
      </c>
      <c r="O710" s="12">
        <v>0.005</v>
      </c>
      <c r="P710" s="12">
        <v>0.025</v>
      </c>
      <c r="Q710" s="12"/>
      <c r="R710" s="12"/>
      <c r="S710" s="12"/>
      <c r="T710" s="154">
        <f>SUM(H710:L710)</f>
        <v>0.338</v>
      </c>
      <c r="U710" s="155"/>
      <c r="V710" s="243"/>
      <c r="W710" s="30"/>
      <c r="X710" s="30"/>
      <c r="Y710" s="30"/>
      <c r="Z710" s="30">
        <v>0.034</v>
      </c>
      <c r="AA710" s="30">
        <v>0.172</v>
      </c>
      <c r="AB710" s="30">
        <f t="shared" si="96"/>
        <v>0.174</v>
      </c>
      <c r="AC710" s="31">
        <v>0.015</v>
      </c>
      <c r="AD710" s="31">
        <f t="shared" si="97"/>
        <v>0.395</v>
      </c>
      <c r="AF710" s="31"/>
      <c r="AG710" s="31"/>
      <c r="AH710" s="31"/>
      <c r="AI710" s="31">
        <v>0.174</v>
      </c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>
        <f t="shared" si="98"/>
        <v>0.174</v>
      </c>
      <c r="AW710" s="27" t="s">
        <v>889</v>
      </c>
    </row>
    <row r="711" spans="2:49" ht="12.75">
      <c r="B711" s="21" t="s">
        <v>1252</v>
      </c>
      <c r="C711" s="185" t="s">
        <v>706</v>
      </c>
      <c r="D711" s="174">
        <v>0.103</v>
      </c>
      <c r="E711" s="270"/>
      <c r="F711" s="270"/>
      <c r="G711" s="5">
        <v>0.017</v>
      </c>
      <c r="H711" s="83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54">
        <f t="shared" si="99"/>
        <v>0.042916666666666665</v>
      </c>
      <c r="U711" s="155"/>
      <c r="V711" s="243"/>
      <c r="W711" s="30"/>
      <c r="X711" s="30"/>
      <c r="Y711" s="30"/>
      <c r="Z711" s="30"/>
      <c r="AA711" s="30"/>
      <c r="AB711" s="30">
        <f t="shared" si="96"/>
        <v>0.10300000000000001</v>
      </c>
      <c r="AC711" s="31"/>
      <c r="AD711" s="31">
        <f t="shared" si="97"/>
        <v>0.10300000000000001</v>
      </c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>
        <v>0.1</v>
      </c>
      <c r="AS711" s="31"/>
      <c r="AT711" s="31"/>
      <c r="AU711" s="31">
        <v>0.003</v>
      </c>
      <c r="AV711" s="31">
        <f>SUM(AF711:AU711)</f>
        <v>0.10300000000000001</v>
      </c>
      <c r="AW711" s="27" t="s">
        <v>936</v>
      </c>
    </row>
    <row r="712" spans="2:48" ht="12.75">
      <c r="B712" s="168" t="s">
        <v>1250</v>
      </c>
      <c r="C712" s="45" t="s">
        <v>736</v>
      </c>
      <c r="D712" s="174">
        <v>0.1</v>
      </c>
      <c r="E712" s="270"/>
      <c r="F712" s="270"/>
      <c r="G712" s="5">
        <v>0.001</v>
      </c>
      <c r="H712" s="83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54">
        <f t="shared" si="99"/>
        <v>0.041666666666666664</v>
      </c>
      <c r="U712" s="155"/>
      <c r="V712" s="243"/>
      <c r="W712" s="30"/>
      <c r="X712" s="30"/>
      <c r="Y712" s="30"/>
      <c r="Z712" s="30"/>
      <c r="AA712" s="27">
        <v>0.1</v>
      </c>
      <c r="AB712" s="30">
        <f t="shared" si="96"/>
        <v>0</v>
      </c>
      <c r="AC712" s="31"/>
      <c r="AD712" s="31">
        <f t="shared" si="97"/>
        <v>0.1</v>
      </c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>
        <f t="shared" si="98"/>
        <v>0</v>
      </c>
    </row>
    <row r="713" spans="2:48" ht="12.75">
      <c r="B713" s="21" t="s">
        <v>764</v>
      </c>
      <c r="C713" s="45" t="s">
        <v>735</v>
      </c>
      <c r="D713" s="174">
        <f>0.25+0.04+0.049</f>
        <v>0.33899999999999997</v>
      </c>
      <c r="E713" s="270"/>
      <c r="F713" s="270"/>
      <c r="G713" s="5">
        <v>0.071</v>
      </c>
      <c r="H713" s="83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54">
        <f t="shared" si="99"/>
        <v>0.14125</v>
      </c>
      <c r="U713" s="155"/>
      <c r="V713" s="243"/>
      <c r="W713" s="30"/>
      <c r="X713" s="30"/>
      <c r="Y713" s="30"/>
      <c r="Z713" s="30"/>
      <c r="AA713" s="30">
        <f>0.25+0.04+0.049</f>
        <v>0.33899999999999997</v>
      </c>
      <c r="AB713" s="30">
        <f t="shared" si="96"/>
        <v>0</v>
      </c>
      <c r="AC713" s="31"/>
      <c r="AD713" s="31">
        <f t="shared" si="97"/>
        <v>0.33899999999999997</v>
      </c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>
        <f t="shared" si="98"/>
        <v>0</v>
      </c>
    </row>
    <row r="714" spans="2:49" ht="12.75">
      <c r="B714" s="21" t="s">
        <v>382</v>
      </c>
      <c r="C714" s="5" t="s">
        <v>1038</v>
      </c>
      <c r="D714" s="174">
        <v>0.052</v>
      </c>
      <c r="E714" s="270">
        <v>38565</v>
      </c>
      <c r="F714" s="270">
        <v>38687</v>
      </c>
      <c r="G714" s="5"/>
      <c r="H714" s="83"/>
      <c r="I714" s="12"/>
      <c r="J714" s="12"/>
      <c r="K714" s="12"/>
      <c r="L714" s="12"/>
      <c r="M714" s="12"/>
      <c r="N714" s="12">
        <v>0.02</v>
      </c>
      <c r="O714" s="12">
        <v>0.025</v>
      </c>
      <c r="P714" s="12">
        <v>0.007</v>
      </c>
      <c r="Q714" s="12"/>
      <c r="R714" s="12"/>
      <c r="S714" s="12"/>
      <c r="T714" s="154">
        <f>D714/12*4</f>
        <v>0.017333333333333333</v>
      </c>
      <c r="U714" s="155"/>
      <c r="V714" s="243">
        <v>38572</v>
      </c>
      <c r="W714" s="30"/>
      <c r="X714" s="30"/>
      <c r="Y714" s="30"/>
      <c r="Z714" s="30"/>
      <c r="AA714" s="30"/>
      <c r="AB714" s="30">
        <f t="shared" si="96"/>
        <v>0.052</v>
      </c>
      <c r="AC714" s="31"/>
      <c r="AD714" s="31">
        <f t="shared" si="97"/>
        <v>0.052</v>
      </c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>
        <v>0.052</v>
      </c>
      <c r="AV714" s="31">
        <f t="shared" si="98"/>
        <v>0.052</v>
      </c>
      <c r="AW714" s="76" t="s">
        <v>259</v>
      </c>
    </row>
    <row r="715" spans="2:49" ht="12.75">
      <c r="B715" s="21" t="s">
        <v>383</v>
      </c>
      <c r="C715" s="145" t="s">
        <v>264</v>
      </c>
      <c r="D715" s="174">
        <v>0.237</v>
      </c>
      <c r="E715" s="270">
        <v>38565</v>
      </c>
      <c r="F715" s="270">
        <v>38687</v>
      </c>
      <c r="G715" s="5"/>
      <c r="H715" s="83"/>
      <c r="I715" s="12"/>
      <c r="J715" s="12"/>
      <c r="K715" s="12"/>
      <c r="L715" s="12"/>
      <c r="M715" s="12">
        <v>0.037</v>
      </c>
      <c r="N715" s="12">
        <v>0.05</v>
      </c>
      <c r="O715" s="12">
        <v>0.05</v>
      </c>
      <c r="P715" s="12">
        <v>0.05</v>
      </c>
      <c r="Q715" s="12">
        <v>0.05</v>
      </c>
      <c r="R715" s="12"/>
      <c r="S715" s="12"/>
      <c r="T715" s="154">
        <f>D715/12*4</f>
        <v>0.079</v>
      </c>
      <c r="U715" s="155"/>
      <c r="V715" s="243">
        <v>38572</v>
      </c>
      <c r="W715" s="30"/>
      <c r="X715" s="30"/>
      <c r="Y715" s="30"/>
      <c r="Z715" s="30"/>
      <c r="AA715" s="30">
        <f>0.1-0.1</f>
        <v>0</v>
      </c>
      <c r="AB715" s="30">
        <f t="shared" si="96"/>
        <v>0.237</v>
      </c>
      <c r="AC715" s="31"/>
      <c r="AD715" s="31">
        <f t="shared" si="97"/>
        <v>0.237</v>
      </c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>
        <v>0.237</v>
      </c>
      <c r="AV715" s="31">
        <f t="shared" si="98"/>
        <v>0.237</v>
      </c>
      <c r="AW715" s="76" t="s">
        <v>259</v>
      </c>
    </row>
    <row r="716" spans="2:48" ht="12.75" hidden="1">
      <c r="B716" s="177" t="s">
        <v>517</v>
      </c>
      <c r="C716" s="77"/>
      <c r="D716" s="20"/>
      <c r="E716" s="270"/>
      <c r="F716" s="270"/>
      <c r="G716" s="5"/>
      <c r="H716" s="83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54">
        <f aca="true" t="shared" si="100" ref="T716:T757">D716/12*2</f>
        <v>0</v>
      </c>
      <c r="U716" s="155"/>
      <c r="V716" s="243"/>
      <c r="W716" s="30"/>
      <c r="X716" s="30"/>
      <c r="Y716" s="30"/>
      <c r="Z716" s="30"/>
      <c r="AA716" s="30"/>
      <c r="AB716" s="30">
        <f t="shared" si="96"/>
        <v>0</v>
      </c>
      <c r="AC716" s="31"/>
      <c r="AD716" s="31">
        <f t="shared" si="97"/>
        <v>0</v>
      </c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</row>
    <row r="717" spans="2:48" ht="12.75" hidden="1">
      <c r="B717" s="177" t="s">
        <v>1257</v>
      </c>
      <c r="C717" s="77"/>
      <c r="D717" s="20"/>
      <c r="E717" s="270"/>
      <c r="F717" s="270"/>
      <c r="G717" s="5">
        <v>0.001</v>
      </c>
      <c r="H717" s="83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54"/>
      <c r="U717" s="155"/>
      <c r="V717" s="243"/>
      <c r="W717" s="30"/>
      <c r="X717" s="30"/>
      <c r="Y717" s="30"/>
      <c r="Z717" s="30"/>
      <c r="AA717" s="30"/>
      <c r="AB717" s="30"/>
      <c r="AC717" s="31"/>
      <c r="AD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</row>
    <row r="718" spans="2:48" ht="12.75" hidden="1">
      <c r="B718" s="177"/>
      <c r="C718" s="77"/>
      <c r="D718" s="20"/>
      <c r="E718" s="270"/>
      <c r="F718" s="270"/>
      <c r="G718" s="5"/>
      <c r="H718" s="83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54"/>
      <c r="U718" s="155"/>
      <c r="V718" s="243"/>
      <c r="W718" s="30"/>
      <c r="X718" s="30"/>
      <c r="Y718" s="30"/>
      <c r="Z718" s="30"/>
      <c r="AA718" s="30"/>
      <c r="AB718" s="30"/>
      <c r="AC718" s="31"/>
      <c r="AD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</row>
    <row r="719" spans="2:48" ht="12.75" hidden="1">
      <c r="B719" s="177" t="s">
        <v>518</v>
      </c>
      <c r="C719" s="77"/>
      <c r="D719" s="20"/>
      <c r="E719" s="270"/>
      <c r="F719" s="270"/>
      <c r="G719" s="5">
        <v>0.006</v>
      </c>
      <c r="H719" s="83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54">
        <f t="shared" si="100"/>
        <v>0</v>
      </c>
      <c r="U719" s="155"/>
      <c r="V719" s="243"/>
      <c r="W719" s="30"/>
      <c r="X719" s="30"/>
      <c r="Y719" s="30"/>
      <c r="Z719" s="30"/>
      <c r="AA719" s="30"/>
      <c r="AB719" s="30">
        <f t="shared" si="96"/>
        <v>0</v>
      </c>
      <c r="AC719" s="31"/>
      <c r="AD719" s="31">
        <f t="shared" si="97"/>
        <v>0</v>
      </c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</row>
    <row r="720" spans="2:48" ht="12.75" hidden="1">
      <c r="B720" s="177" t="s">
        <v>520</v>
      </c>
      <c r="C720" s="77"/>
      <c r="D720" s="20"/>
      <c r="E720" s="270"/>
      <c r="F720" s="270"/>
      <c r="G720" s="5">
        <v>0.02</v>
      </c>
      <c r="H720" s="83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54">
        <f t="shared" si="100"/>
        <v>0</v>
      </c>
      <c r="U720" s="155"/>
      <c r="V720" s="243"/>
      <c r="W720" s="30"/>
      <c r="X720" s="30"/>
      <c r="Y720" s="30"/>
      <c r="Z720" s="30"/>
      <c r="AA720" s="30"/>
      <c r="AB720" s="30">
        <f t="shared" si="96"/>
        <v>0</v>
      </c>
      <c r="AC720" s="31">
        <f>0.08-0.08</f>
        <v>0</v>
      </c>
      <c r="AD720" s="31">
        <f t="shared" si="97"/>
        <v>0</v>
      </c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</row>
    <row r="721" spans="2:48" ht="12.75" hidden="1">
      <c r="B721" s="177" t="s">
        <v>521</v>
      </c>
      <c r="C721" s="77"/>
      <c r="D721" s="20"/>
      <c r="E721" s="270"/>
      <c r="F721" s="270"/>
      <c r="G721" s="5"/>
      <c r="H721" s="83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54">
        <f t="shared" si="100"/>
        <v>0</v>
      </c>
      <c r="U721" s="155"/>
      <c r="V721" s="243"/>
      <c r="W721" s="30"/>
      <c r="X721" s="30"/>
      <c r="Y721" s="30"/>
      <c r="Z721" s="30"/>
      <c r="AA721" s="30"/>
      <c r="AB721" s="30">
        <f t="shared" si="96"/>
        <v>0</v>
      </c>
      <c r="AC721" s="31"/>
      <c r="AD721" s="31">
        <f t="shared" si="97"/>
        <v>0</v>
      </c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</row>
    <row r="722" spans="2:48" ht="12.75" hidden="1">
      <c r="B722" s="177" t="s">
        <v>522</v>
      </c>
      <c r="C722" s="133"/>
      <c r="D722" s="20"/>
      <c r="E722" s="270"/>
      <c r="F722" s="270"/>
      <c r="G722" s="5">
        <v>0.006</v>
      </c>
      <c r="H722" s="83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54">
        <f t="shared" si="100"/>
        <v>0</v>
      </c>
      <c r="U722" s="155"/>
      <c r="V722" s="243"/>
      <c r="W722" s="30"/>
      <c r="X722" s="30"/>
      <c r="Y722" s="30"/>
      <c r="Z722" s="30"/>
      <c r="AA722" s="30"/>
      <c r="AB722" s="30">
        <f t="shared" si="96"/>
        <v>0</v>
      </c>
      <c r="AC722" s="31"/>
      <c r="AD722" s="31">
        <f t="shared" si="97"/>
        <v>0</v>
      </c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>
        <f>SUM(AF722:AU722)</f>
        <v>0</v>
      </c>
    </row>
    <row r="723" spans="2:48" ht="12.75" hidden="1">
      <c r="B723" s="177" t="s">
        <v>523</v>
      </c>
      <c r="C723" s="77"/>
      <c r="D723" s="20"/>
      <c r="E723" s="270"/>
      <c r="F723" s="270"/>
      <c r="G723" s="5">
        <v>0.003</v>
      </c>
      <c r="H723" s="83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54">
        <f t="shared" si="100"/>
        <v>0</v>
      </c>
      <c r="U723" s="155"/>
      <c r="V723" s="243"/>
      <c r="W723" s="30"/>
      <c r="X723" s="30"/>
      <c r="Y723" s="30"/>
      <c r="Z723" s="30"/>
      <c r="AA723" s="30"/>
      <c r="AB723" s="30">
        <f t="shared" si="96"/>
        <v>0</v>
      </c>
      <c r="AC723" s="31"/>
      <c r="AD723" s="31">
        <f t="shared" si="97"/>
        <v>0</v>
      </c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</row>
    <row r="724" spans="2:48" ht="12.75" hidden="1">
      <c r="B724" s="177" t="s">
        <v>524</v>
      </c>
      <c r="C724" s="77"/>
      <c r="D724" s="20"/>
      <c r="E724" s="270"/>
      <c r="F724" s="270"/>
      <c r="G724" s="5">
        <v>0.011</v>
      </c>
      <c r="H724" s="83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54">
        <f t="shared" si="100"/>
        <v>0</v>
      </c>
      <c r="U724" s="155"/>
      <c r="V724" s="243"/>
      <c r="W724" s="30"/>
      <c r="X724" s="30"/>
      <c r="Y724" s="30"/>
      <c r="Z724" s="30"/>
      <c r="AA724" s="30"/>
      <c r="AB724" s="30">
        <f t="shared" si="96"/>
        <v>0</v>
      </c>
      <c r="AC724" s="31"/>
      <c r="AD724" s="31">
        <f t="shared" si="97"/>
        <v>0</v>
      </c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</row>
    <row r="725" spans="2:48" ht="12.75" hidden="1">
      <c r="B725" s="177" t="s">
        <v>525</v>
      </c>
      <c r="C725" s="77"/>
      <c r="D725" s="20"/>
      <c r="E725" s="270"/>
      <c r="F725" s="270"/>
      <c r="G725" s="5">
        <v>0</v>
      </c>
      <c r="H725" s="83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54">
        <f t="shared" si="100"/>
        <v>0</v>
      </c>
      <c r="U725" s="155"/>
      <c r="V725" s="243"/>
      <c r="W725" s="30"/>
      <c r="X725" s="30"/>
      <c r="Y725" s="30"/>
      <c r="Z725" s="30"/>
      <c r="AA725" s="30"/>
      <c r="AB725" s="30">
        <f t="shared" si="96"/>
        <v>0</v>
      </c>
      <c r="AC725" s="31"/>
      <c r="AD725" s="31">
        <f t="shared" si="97"/>
        <v>0</v>
      </c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</row>
    <row r="726" spans="2:48" ht="12.75" hidden="1">
      <c r="B726" s="177" t="s">
        <v>526</v>
      </c>
      <c r="C726" s="133"/>
      <c r="D726" s="20"/>
      <c r="E726" s="270"/>
      <c r="F726" s="270"/>
      <c r="G726" s="5"/>
      <c r="H726" s="83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54">
        <f t="shared" si="100"/>
        <v>0</v>
      </c>
      <c r="U726" s="155"/>
      <c r="V726" s="243"/>
      <c r="W726" s="30"/>
      <c r="X726" s="30"/>
      <c r="Y726" s="30"/>
      <c r="Z726" s="30"/>
      <c r="AA726" s="30">
        <f>D726</f>
        <v>0</v>
      </c>
      <c r="AB726" s="30">
        <f t="shared" si="96"/>
        <v>0</v>
      </c>
      <c r="AC726" s="31"/>
      <c r="AD726" s="31">
        <f t="shared" si="97"/>
        <v>0</v>
      </c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</row>
    <row r="727" spans="2:48" ht="12.75" hidden="1">
      <c r="B727" s="177" t="s">
        <v>384</v>
      </c>
      <c r="C727" s="133"/>
      <c r="D727" s="20"/>
      <c r="E727" s="270"/>
      <c r="F727" s="270"/>
      <c r="G727" s="5">
        <v>0.001</v>
      </c>
      <c r="H727" s="83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54"/>
      <c r="U727" s="155"/>
      <c r="V727" s="243"/>
      <c r="W727" s="30"/>
      <c r="X727" s="30"/>
      <c r="Y727" s="30"/>
      <c r="Z727" s="30"/>
      <c r="AA727" s="30"/>
      <c r="AB727" s="30"/>
      <c r="AC727" s="31"/>
      <c r="AD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</row>
    <row r="728" spans="2:48" ht="12.75" hidden="1">
      <c r="B728" s="177" t="s">
        <v>527</v>
      </c>
      <c r="C728" s="77"/>
      <c r="D728" s="20"/>
      <c r="E728" s="270"/>
      <c r="F728" s="270"/>
      <c r="G728" s="5">
        <v>0.005</v>
      </c>
      <c r="H728" s="83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54">
        <f t="shared" si="100"/>
        <v>0</v>
      </c>
      <c r="U728" s="155"/>
      <c r="V728" s="243"/>
      <c r="W728" s="30"/>
      <c r="X728" s="30"/>
      <c r="Y728" s="30"/>
      <c r="Z728" s="30"/>
      <c r="AA728" s="30"/>
      <c r="AB728" s="30">
        <f t="shared" si="96"/>
        <v>0</v>
      </c>
      <c r="AC728" s="31"/>
      <c r="AD728" s="31">
        <f t="shared" si="97"/>
        <v>0</v>
      </c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</row>
    <row r="729" spans="2:48" ht="12.75" hidden="1">
      <c r="B729" s="177" t="s">
        <v>528</v>
      </c>
      <c r="C729" s="77"/>
      <c r="D729" s="20"/>
      <c r="E729" s="270"/>
      <c r="F729" s="270"/>
      <c r="G729" s="5"/>
      <c r="H729" s="83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54">
        <f t="shared" si="100"/>
        <v>0</v>
      </c>
      <c r="U729" s="155"/>
      <c r="V729" s="243"/>
      <c r="W729" s="30"/>
      <c r="X729" s="30"/>
      <c r="Y729" s="30"/>
      <c r="Z729" s="30"/>
      <c r="AA729" s="30"/>
      <c r="AB729" s="30">
        <f t="shared" si="96"/>
        <v>0</v>
      </c>
      <c r="AC729" s="31"/>
      <c r="AD729" s="31">
        <f t="shared" si="97"/>
        <v>0</v>
      </c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</row>
    <row r="730" spans="2:48" ht="12.75" hidden="1">
      <c r="B730" s="177" t="s">
        <v>529</v>
      </c>
      <c r="C730" s="77"/>
      <c r="D730" s="20"/>
      <c r="E730" s="279"/>
      <c r="F730" s="280"/>
      <c r="G730" s="5">
        <v>0.001</v>
      </c>
      <c r="H730" s="83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54">
        <f t="shared" si="100"/>
        <v>0</v>
      </c>
      <c r="U730" s="155"/>
      <c r="V730" s="243"/>
      <c r="W730" s="30"/>
      <c r="X730" s="30"/>
      <c r="Y730" s="30"/>
      <c r="Z730" s="30"/>
      <c r="AA730" s="30"/>
      <c r="AB730" s="30">
        <f t="shared" si="96"/>
        <v>0</v>
      </c>
      <c r="AC730" s="31"/>
      <c r="AD730" s="31">
        <f t="shared" si="97"/>
        <v>0</v>
      </c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>
        <f>SUM(AF730:AU730)</f>
        <v>0</v>
      </c>
    </row>
    <row r="731" spans="2:48" ht="12.75" hidden="1">
      <c r="B731" s="177" t="s">
        <v>530</v>
      </c>
      <c r="C731" s="77"/>
      <c r="D731" s="20"/>
      <c r="E731" s="279"/>
      <c r="F731" s="280"/>
      <c r="G731" s="5">
        <v>0.002</v>
      </c>
      <c r="H731" s="83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54">
        <f t="shared" si="100"/>
        <v>0</v>
      </c>
      <c r="U731" s="155"/>
      <c r="V731" s="243"/>
      <c r="W731" s="30"/>
      <c r="X731" s="30"/>
      <c r="Y731" s="30"/>
      <c r="Z731" s="30"/>
      <c r="AA731" s="30"/>
      <c r="AB731" s="30">
        <f t="shared" si="96"/>
        <v>0</v>
      </c>
      <c r="AC731" s="31"/>
      <c r="AD731" s="31">
        <f t="shared" si="97"/>
        <v>0</v>
      </c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</row>
    <row r="732" spans="2:48" ht="12.75" hidden="1">
      <c r="B732" s="177" t="s">
        <v>531</v>
      </c>
      <c r="C732" s="77"/>
      <c r="D732" s="20"/>
      <c r="E732" s="279"/>
      <c r="F732" s="280"/>
      <c r="G732" s="5">
        <v>0.002</v>
      </c>
      <c r="H732" s="83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54">
        <f t="shared" si="100"/>
        <v>0</v>
      </c>
      <c r="U732" s="155"/>
      <c r="V732" s="243"/>
      <c r="W732" s="30"/>
      <c r="X732" s="30"/>
      <c r="Y732" s="30"/>
      <c r="Z732" s="30"/>
      <c r="AA732" s="30"/>
      <c r="AB732" s="30">
        <f t="shared" si="96"/>
        <v>0</v>
      </c>
      <c r="AC732" s="31"/>
      <c r="AD732" s="31">
        <f t="shared" si="97"/>
        <v>0</v>
      </c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>
        <f>SUM(AF732:AU732)</f>
        <v>0</v>
      </c>
    </row>
    <row r="733" spans="2:48" ht="12.75" hidden="1">
      <c r="B733" s="177" t="s">
        <v>532</v>
      </c>
      <c r="C733" s="77"/>
      <c r="D733" s="20"/>
      <c r="E733" s="143"/>
      <c r="F733" s="143"/>
      <c r="G733" s="5">
        <v>0.001</v>
      </c>
      <c r="H733" s="83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54">
        <f t="shared" si="100"/>
        <v>0</v>
      </c>
      <c r="U733" s="155"/>
      <c r="V733" s="243"/>
      <c r="W733" s="30"/>
      <c r="X733" s="30"/>
      <c r="Y733" s="30"/>
      <c r="Z733" s="30"/>
      <c r="AA733" s="30"/>
      <c r="AB733" s="30">
        <f t="shared" si="96"/>
        <v>0</v>
      </c>
      <c r="AC733" s="31"/>
      <c r="AD733" s="31">
        <f t="shared" si="97"/>
        <v>0</v>
      </c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</row>
    <row r="734" spans="2:48" ht="12.75" hidden="1">
      <c r="B734" s="177" t="s">
        <v>533</v>
      </c>
      <c r="C734" s="77"/>
      <c r="D734" s="20"/>
      <c r="E734" s="270"/>
      <c r="F734" s="270"/>
      <c r="G734" s="5">
        <v>0.009</v>
      </c>
      <c r="H734" s="83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54">
        <f t="shared" si="100"/>
        <v>0</v>
      </c>
      <c r="U734" s="155"/>
      <c r="V734" s="243"/>
      <c r="W734" s="30"/>
      <c r="X734" s="30"/>
      <c r="Y734" s="30"/>
      <c r="Z734" s="30"/>
      <c r="AA734" s="30"/>
      <c r="AB734" s="30">
        <f t="shared" si="96"/>
        <v>0</v>
      </c>
      <c r="AC734" s="31"/>
      <c r="AD734" s="31">
        <f t="shared" si="97"/>
        <v>0</v>
      </c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>
        <f>SUM(AF734:AU734)</f>
        <v>0</v>
      </c>
    </row>
    <row r="735" spans="2:48" ht="12.75" hidden="1">
      <c r="B735" s="177" t="s">
        <v>534</v>
      </c>
      <c r="C735" s="77"/>
      <c r="D735" s="20"/>
      <c r="E735" s="270"/>
      <c r="F735" s="270"/>
      <c r="G735" s="5">
        <v>0.006</v>
      </c>
      <c r="H735" s="83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54">
        <f t="shared" si="100"/>
        <v>0</v>
      </c>
      <c r="U735" s="155"/>
      <c r="V735" s="243"/>
      <c r="W735" s="30"/>
      <c r="X735" s="30"/>
      <c r="Y735" s="30"/>
      <c r="Z735" s="30"/>
      <c r="AA735" s="30"/>
      <c r="AB735" s="30">
        <f t="shared" si="96"/>
        <v>0</v>
      </c>
      <c r="AC735" s="31"/>
      <c r="AD735" s="31">
        <f t="shared" si="97"/>
        <v>0</v>
      </c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>
        <f>SUM(AF735:AU735)</f>
        <v>0</v>
      </c>
    </row>
    <row r="736" spans="2:48" ht="12.75" hidden="1">
      <c r="B736" s="177" t="s">
        <v>535</v>
      </c>
      <c r="C736" s="77"/>
      <c r="D736" s="20"/>
      <c r="E736" s="270"/>
      <c r="F736" s="270"/>
      <c r="G736" s="5">
        <v>0.013</v>
      </c>
      <c r="H736" s="83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54">
        <f t="shared" si="100"/>
        <v>0</v>
      </c>
      <c r="U736" s="155"/>
      <c r="V736" s="243"/>
      <c r="W736" s="30"/>
      <c r="X736" s="30"/>
      <c r="Y736" s="30"/>
      <c r="Z736" s="30"/>
      <c r="AA736" s="30"/>
      <c r="AB736" s="30">
        <f t="shared" si="96"/>
        <v>0</v>
      </c>
      <c r="AC736" s="31"/>
      <c r="AD736" s="31">
        <f t="shared" si="97"/>
        <v>0</v>
      </c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</row>
    <row r="737" spans="2:48" ht="12.75" hidden="1">
      <c r="B737" s="177" t="s">
        <v>536</v>
      </c>
      <c r="C737" s="77"/>
      <c r="D737" s="20"/>
      <c r="E737" s="270"/>
      <c r="F737" s="270"/>
      <c r="G737" s="5">
        <v>0.004</v>
      </c>
      <c r="H737" s="83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54">
        <f t="shared" si="100"/>
        <v>0</v>
      </c>
      <c r="U737" s="155"/>
      <c r="V737" s="243"/>
      <c r="W737" s="30"/>
      <c r="X737" s="30"/>
      <c r="Y737" s="30"/>
      <c r="Z737" s="30"/>
      <c r="AA737" s="30"/>
      <c r="AB737" s="30">
        <f t="shared" si="96"/>
        <v>0</v>
      </c>
      <c r="AC737" s="31"/>
      <c r="AD737" s="31">
        <f t="shared" si="97"/>
        <v>0</v>
      </c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>
        <f>SUM(AF737:AU737)</f>
        <v>0</v>
      </c>
    </row>
    <row r="738" spans="2:48" ht="12.75" hidden="1">
      <c r="B738" s="177"/>
      <c r="C738" s="77"/>
      <c r="D738" s="20"/>
      <c r="E738" s="279"/>
      <c r="F738" s="280"/>
      <c r="G738" s="9"/>
      <c r="H738" s="83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54">
        <f t="shared" si="100"/>
        <v>0</v>
      </c>
      <c r="U738" s="155"/>
      <c r="V738" s="243"/>
      <c r="W738" s="30"/>
      <c r="X738" s="30"/>
      <c r="Y738" s="30"/>
      <c r="Z738" s="30"/>
      <c r="AA738" s="30"/>
      <c r="AB738" s="30">
        <f t="shared" si="96"/>
        <v>0</v>
      </c>
      <c r="AC738" s="31"/>
      <c r="AD738" s="31">
        <f t="shared" si="97"/>
        <v>0</v>
      </c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>
        <f>SUM(AF738:AU738)</f>
        <v>0</v>
      </c>
    </row>
    <row r="739" spans="2:48" ht="12.75" hidden="1">
      <c r="B739" s="177"/>
      <c r="C739" s="77"/>
      <c r="D739" s="20"/>
      <c r="E739" s="270"/>
      <c r="F739" s="270"/>
      <c r="G739" s="5"/>
      <c r="H739" s="83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54">
        <f t="shared" si="100"/>
        <v>0</v>
      </c>
      <c r="U739" s="155"/>
      <c r="V739" s="243"/>
      <c r="W739" s="30"/>
      <c r="X739" s="30"/>
      <c r="Y739" s="30"/>
      <c r="Z739" s="30"/>
      <c r="AA739" s="30"/>
      <c r="AB739" s="30">
        <f t="shared" si="96"/>
        <v>0</v>
      </c>
      <c r="AC739" s="31"/>
      <c r="AD739" s="31">
        <f t="shared" si="97"/>
        <v>0</v>
      </c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>
        <f>SUM(AF739:AU739)</f>
        <v>0</v>
      </c>
    </row>
    <row r="740" spans="2:48" ht="12.75" hidden="1">
      <c r="B740" s="177"/>
      <c r="C740" s="77"/>
      <c r="D740" s="20"/>
      <c r="E740" s="270"/>
      <c r="F740" s="270"/>
      <c r="G740" s="5"/>
      <c r="H740" s="83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54">
        <f t="shared" si="100"/>
        <v>0</v>
      </c>
      <c r="U740" s="155"/>
      <c r="V740" s="243"/>
      <c r="W740" s="30"/>
      <c r="X740" s="30"/>
      <c r="Y740" s="30"/>
      <c r="Z740" s="30"/>
      <c r="AA740" s="30"/>
      <c r="AB740" s="30">
        <f t="shared" si="96"/>
        <v>0</v>
      </c>
      <c r="AC740" s="31"/>
      <c r="AD740" s="31">
        <f t="shared" si="97"/>
        <v>0</v>
      </c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</row>
    <row r="741" spans="2:48" ht="12.75" hidden="1">
      <c r="B741" s="177"/>
      <c r="C741" s="77"/>
      <c r="D741" s="20"/>
      <c r="E741" s="270"/>
      <c r="F741" s="270"/>
      <c r="G741" s="5"/>
      <c r="H741" s="83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54">
        <f t="shared" si="100"/>
        <v>0</v>
      </c>
      <c r="U741" s="155"/>
      <c r="V741" s="243"/>
      <c r="W741" s="30"/>
      <c r="X741" s="30"/>
      <c r="Y741" s="30"/>
      <c r="Z741" s="30"/>
      <c r="AA741" s="30"/>
      <c r="AB741" s="30">
        <f t="shared" si="96"/>
        <v>0</v>
      </c>
      <c r="AC741" s="31"/>
      <c r="AD741" s="31">
        <f t="shared" si="97"/>
        <v>0</v>
      </c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>
        <f>SUM(AF741:AU741)</f>
        <v>0</v>
      </c>
    </row>
    <row r="742" spans="2:48" ht="12.75" hidden="1">
      <c r="B742" s="177"/>
      <c r="C742" s="77"/>
      <c r="D742" s="20"/>
      <c r="E742" s="270"/>
      <c r="F742" s="270"/>
      <c r="G742" s="5"/>
      <c r="H742" s="83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54">
        <f t="shared" si="100"/>
        <v>0</v>
      </c>
      <c r="U742" s="155"/>
      <c r="V742" s="243"/>
      <c r="W742" s="30"/>
      <c r="X742" s="30"/>
      <c r="Y742" s="30"/>
      <c r="Z742" s="30"/>
      <c r="AA742" s="30"/>
      <c r="AB742" s="30">
        <f t="shared" si="96"/>
        <v>0</v>
      </c>
      <c r="AC742" s="31"/>
      <c r="AD742" s="31">
        <f t="shared" si="97"/>
        <v>0</v>
      </c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>
        <f>SUM(AF742:AU742)</f>
        <v>0</v>
      </c>
    </row>
    <row r="743" spans="2:48" ht="12.75" hidden="1">
      <c r="B743" s="177"/>
      <c r="C743" s="77"/>
      <c r="D743" s="20"/>
      <c r="E743" s="270"/>
      <c r="F743" s="270"/>
      <c r="G743" s="5"/>
      <c r="H743" s="83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54">
        <f t="shared" si="100"/>
        <v>0</v>
      </c>
      <c r="U743" s="155"/>
      <c r="V743" s="243"/>
      <c r="W743" s="30"/>
      <c r="X743" s="30"/>
      <c r="Y743" s="30"/>
      <c r="Z743" s="30"/>
      <c r="AA743" s="30"/>
      <c r="AB743" s="30">
        <f t="shared" si="96"/>
        <v>0</v>
      </c>
      <c r="AC743" s="31"/>
      <c r="AD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</row>
    <row r="744" spans="2:48" ht="12.75" hidden="1">
      <c r="B744" s="177"/>
      <c r="C744" s="77"/>
      <c r="D744" s="20"/>
      <c r="E744" s="270"/>
      <c r="F744" s="270"/>
      <c r="G744" s="5"/>
      <c r="H744" s="83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54">
        <f t="shared" si="100"/>
        <v>0</v>
      </c>
      <c r="U744" s="155"/>
      <c r="V744" s="243"/>
      <c r="W744" s="30"/>
      <c r="X744" s="30"/>
      <c r="Y744" s="30"/>
      <c r="Z744" s="30"/>
      <c r="AA744" s="30"/>
      <c r="AB744" s="30">
        <f t="shared" si="96"/>
        <v>0</v>
      </c>
      <c r="AC744" s="31"/>
      <c r="AD744" s="31">
        <f aca="true" t="shared" si="101" ref="AD744:AD754">SUM(W744:AC744)</f>
        <v>0</v>
      </c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>
        <f>SUM(AF744:AU744)</f>
        <v>0</v>
      </c>
    </row>
    <row r="745" spans="2:48" ht="12.75" hidden="1">
      <c r="B745" s="177"/>
      <c r="C745" s="77"/>
      <c r="D745" s="20"/>
      <c r="E745" s="270"/>
      <c r="F745" s="270"/>
      <c r="G745" s="5"/>
      <c r="H745" s="83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54">
        <f t="shared" si="100"/>
        <v>0</v>
      </c>
      <c r="U745" s="155"/>
      <c r="V745" s="243"/>
      <c r="W745" s="30"/>
      <c r="X745" s="30"/>
      <c r="Y745" s="30"/>
      <c r="Z745" s="30"/>
      <c r="AA745" s="30"/>
      <c r="AB745" s="30">
        <f t="shared" si="96"/>
        <v>0</v>
      </c>
      <c r="AC745" s="31"/>
      <c r="AD745" s="31">
        <f t="shared" si="101"/>
        <v>0</v>
      </c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>
        <f>SUM(AF745:AU745)</f>
        <v>0</v>
      </c>
    </row>
    <row r="746" spans="2:48" ht="12.75" hidden="1">
      <c r="B746" s="177"/>
      <c r="C746" s="77"/>
      <c r="D746" s="20"/>
      <c r="E746" s="270"/>
      <c r="F746" s="270"/>
      <c r="G746" s="5"/>
      <c r="H746" s="83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54">
        <f t="shared" si="100"/>
        <v>0</v>
      </c>
      <c r="U746" s="155"/>
      <c r="V746" s="243"/>
      <c r="W746" s="30"/>
      <c r="X746" s="30"/>
      <c r="Y746" s="30"/>
      <c r="Z746" s="30"/>
      <c r="AA746" s="30"/>
      <c r="AB746" s="30">
        <f t="shared" si="96"/>
        <v>0</v>
      </c>
      <c r="AC746" s="31"/>
      <c r="AD746" s="31">
        <f t="shared" si="101"/>
        <v>0</v>
      </c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</row>
    <row r="747" spans="2:48" ht="12.75" hidden="1">
      <c r="B747" s="177"/>
      <c r="C747" s="77"/>
      <c r="D747" s="20"/>
      <c r="E747" s="270"/>
      <c r="F747" s="270"/>
      <c r="G747" s="5"/>
      <c r="H747" s="83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54">
        <f t="shared" si="100"/>
        <v>0</v>
      </c>
      <c r="U747" s="155"/>
      <c r="V747" s="243"/>
      <c r="W747" s="30"/>
      <c r="X747" s="30"/>
      <c r="Y747" s="30"/>
      <c r="Z747" s="30"/>
      <c r="AA747" s="30"/>
      <c r="AB747" s="30">
        <f t="shared" si="96"/>
        <v>0</v>
      </c>
      <c r="AC747" s="31"/>
      <c r="AD747" s="31">
        <f t="shared" si="101"/>
        <v>0</v>
      </c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</row>
    <row r="748" spans="2:48" ht="12.75" hidden="1">
      <c r="B748" s="177"/>
      <c r="C748" s="77"/>
      <c r="D748" s="20"/>
      <c r="E748" s="270"/>
      <c r="F748" s="270"/>
      <c r="G748" s="5"/>
      <c r="H748" s="83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54">
        <f t="shared" si="100"/>
        <v>0</v>
      </c>
      <c r="U748" s="155"/>
      <c r="V748" s="243"/>
      <c r="W748" s="30"/>
      <c r="X748" s="30"/>
      <c r="Y748" s="30"/>
      <c r="Z748" s="30"/>
      <c r="AA748" s="30"/>
      <c r="AB748" s="30">
        <f t="shared" si="96"/>
        <v>0</v>
      </c>
      <c r="AC748" s="31"/>
      <c r="AD748" s="31">
        <f t="shared" si="101"/>
        <v>0</v>
      </c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>
        <f aca="true" t="shared" si="102" ref="AV748:AV754">SUM(AF748:AU748)</f>
        <v>0</v>
      </c>
    </row>
    <row r="749" spans="2:48" ht="12.75" hidden="1">
      <c r="B749" s="177"/>
      <c r="C749" s="77"/>
      <c r="D749" s="20"/>
      <c r="E749" s="270"/>
      <c r="F749" s="270"/>
      <c r="G749" s="5"/>
      <c r="H749" s="83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54">
        <f t="shared" si="100"/>
        <v>0</v>
      </c>
      <c r="U749" s="155"/>
      <c r="V749" s="243"/>
      <c r="W749" s="30"/>
      <c r="X749" s="30"/>
      <c r="Y749" s="30"/>
      <c r="Z749" s="30"/>
      <c r="AA749" s="30"/>
      <c r="AB749" s="30">
        <f t="shared" si="96"/>
        <v>0</v>
      </c>
      <c r="AC749" s="31"/>
      <c r="AD749" s="31">
        <f t="shared" si="101"/>
        <v>0</v>
      </c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>
        <f t="shared" si="102"/>
        <v>0</v>
      </c>
    </row>
    <row r="750" spans="2:48" ht="12.75" hidden="1">
      <c r="B750" s="177"/>
      <c r="C750" s="77"/>
      <c r="D750" s="20"/>
      <c r="E750" s="270"/>
      <c r="F750" s="270"/>
      <c r="G750" s="5"/>
      <c r="H750" s="83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54">
        <f t="shared" si="100"/>
        <v>0</v>
      </c>
      <c r="U750" s="155"/>
      <c r="V750" s="243"/>
      <c r="W750" s="30"/>
      <c r="X750" s="30"/>
      <c r="Y750" s="30"/>
      <c r="Z750" s="30"/>
      <c r="AA750" s="30"/>
      <c r="AB750" s="30">
        <f t="shared" si="96"/>
        <v>0</v>
      </c>
      <c r="AC750" s="31"/>
      <c r="AD750" s="31">
        <f t="shared" si="101"/>
        <v>0</v>
      </c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>
        <f t="shared" si="102"/>
        <v>0</v>
      </c>
    </row>
    <row r="751" spans="2:48" ht="12.75" hidden="1">
      <c r="B751" s="177"/>
      <c r="C751" s="77"/>
      <c r="D751" s="20"/>
      <c r="E751" s="270"/>
      <c r="F751" s="270"/>
      <c r="G751" s="5"/>
      <c r="H751" s="83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54">
        <f t="shared" si="100"/>
        <v>0</v>
      </c>
      <c r="U751" s="155"/>
      <c r="V751" s="243"/>
      <c r="W751" s="30"/>
      <c r="X751" s="30"/>
      <c r="Y751" s="30"/>
      <c r="Z751" s="30"/>
      <c r="AA751" s="30"/>
      <c r="AB751" s="30">
        <f t="shared" si="96"/>
        <v>0</v>
      </c>
      <c r="AC751" s="31"/>
      <c r="AD751" s="31">
        <f t="shared" si="101"/>
        <v>0</v>
      </c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>
        <f t="shared" si="102"/>
        <v>0</v>
      </c>
    </row>
    <row r="752" spans="2:48" ht="12.75" hidden="1">
      <c r="B752" s="177"/>
      <c r="C752" s="77"/>
      <c r="D752" s="20"/>
      <c r="E752" s="270"/>
      <c r="F752" s="270"/>
      <c r="G752" s="5"/>
      <c r="H752" s="83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54">
        <f t="shared" si="100"/>
        <v>0</v>
      </c>
      <c r="U752" s="155"/>
      <c r="V752" s="243"/>
      <c r="W752" s="30"/>
      <c r="X752" s="30"/>
      <c r="Y752" s="30"/>
      <c r="Z752" s="30"/>
      <c r="AA752" s="30"/>
      <c r="AB752" s="30">
        <f t="shared" si="96"/>
        <v>0</v>
      </c>
      <c r="AC752" s="31"/>
      <c r="AD752" s="31">
        <f t="shared" si="101"/>
        <v>0</v>
      </c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>
        <f t="shared" si="102"/>
        <v>0</v>
      </c>
    </row>
    <row r="753" spans="2:48" ht="12.75" hidden="1">
      <c r="B753" s="177"/>
      <c r="C753" s="108"/>
      <c r="D753" s="20"/>
      <c r="E753" s="270"/>
      <c r="F753" s="270"/>
      <c r="G753" s="5"/>
      <c r="H753" s="83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54">
        <f t="shared" si="100"/>
        <v>0</v>
      </c>
      <c r="U753" s="155"/>
      <c r="V753" s="243"/>
      <c r="W753" s="30"/>
      <c r="X753" s="30"/>
      <c r="Y753" s="30"/>
      <c r="Z753" s="30"/>
      <c r="AA753" s="30"/>
      <c r="AB753" s="30">
        <f t="shared" si="96"/>
        <v>0</v>
      </c>
      <c r="AC753" s="31"/>
      <c r="AD753" s="31">
        <f t="shared" si="101"/>
        <v>0</v>
      </c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>
        <f t="shared" si="102"/>
        <v>0</v>
      </c>
    </row>
    <row r="754" spans="2:48" ht="12.75" hidden="1">
      <c r="B754" s="177"/>
      <c r="C754" s="108"/>
      <c r="D754" s="20"/>
      <c r="E754" s="270"/>
      <c r="F754" s="270"/>
      <c r="G754" s="5"/>
      <c r="H754" s="83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54">
        <f t="shared" si="100"/>
        <v>0</v>
      </c>
      <c r="U754" s="155"/>
      <c r="V754" s="243"/>
      <c r="W754" s="30"/>
      <c r="X754" s="30"/>
      <c r="Y754" s="30"/>
      <c r="Z754" s="30"/>
      <c r="AA754" s="30"/>
      <c r="AB754" s="30">
        <f t="shared" si="96"/>
        <v>0</v>
      </c>
      <c r="AC754" s="31"/>
      <c r="AD754" s="31">
        <f t="shared" si="101"/>
        <v>0</v>
      </c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>
        <f t="shared" si="102"/>
        <v>0</v>
      </c>
    </row>
    <row r="755" spans="2:48" ht="12.75" hidden="1">
      <c r="B755" s="177"/>
      <c r="C755" s="108"/>
      <c r="D755" s="20"/>
      <c r="E755" s="270"/>
      <c r="F755" s="270"/>
      <c r="G755" s="5"/>
      <c r="H755" s="83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54">
        <f t="shared" si="100"/>
        <v>0</v>
      </c>
      <c r="U755" s="155"/>
      <c r="V755" s="243"/>
      <c r="W755" s="30"/>
      <c r="X755" s="30"/>
      <c r="Y755" s="30"/>
      <c r="Z755" s="30"/>
      <c r="AA755" s="30"/>
      <c r="AB755" s="30">
        <f t="shared" si="96"/>
        <v>0</v>
      </c>
      <c r="AC755" s="31"/>
      <c r="AD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</row>
    <row r="756" spans="2:48" ht="12.75" hidden="1">
      <c r="B756" s="177"/>
      <c r="C756" s="108"/>
      <c r="D756" s="20"/>
      <c r="E756" s="270"/>
      <c r="F756" s="270"/>
      <c r="G756" s="5"/>
      <c r="H756" s="83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54">
        <f t="shared" si="100"/>
        <v>0</v>
      </c>
      <c r="U756" s="155"/>
      <c r="V756" s="243"/>
      <c r="W756" s="30"/>
      <c r="X756" s="30"/>
      <c r="Y756" s="30"/>
      <c r="Z756" s="30"/>
      <c r="AA756" s="30"/>
      <c r="AB756" s="30">
        <f t="shared" si="96"/>
        <v>0</v>
      </c>
      <c r="AC756" s="31"/>
      <c r="AD756" s="31">
        <f>SUM(W756:AC756)</f>
        <v>0</v>
      </c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</row>
    <row r="757" spans="2:48" ht="12.75" hidden="1">
      <c r="B757" s="177"/>
      <c r="C757" s="108"/>
      <c r="D757" s="20"/>
      <c r="E757" s="270"/>
      <c r="F757" s="270"/>
      <c r="G757" s="5"/>
      <c r="H757" s="83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54">
        <f t="shared" si="100"/>
        <v>0</v>
      </c>
      <c r="U757" s="155"/>
      <c r="V757" s="243"/>
      <c r="W757" s="30"/>
      <c r="X757" s="30"/>
      <c r="Y757" s="30"/>
      <c r="Z757" s="30"/>
      <c r="AA757" s="30"/>
      <c r="AB757" s="30">
        <f t="shared" si="96"/>
        <v>0</v>
      </c>
      <c r="AC757" s="31"/>
      <c r="AD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</row>
    <row r="758" spans="1:48" ht="12.75">
      <c r="A758" s="27" t="s">
        <v>765</v>
      </c>
      <c r="B758" s="325"/>
      <c r="C758" s="96" t="s">
        <v>753</v>
      </c>
      <c r="D758" s="20">
        <v>0.1</v>
      </c>
      <c r="E758" s="270"/>
      <c r="F758" s="270"/>
      <c r="G758" s="5">
        <f>SUM(G716:G757)</f>
        <v>0.09100000000000001</v>
      </c>
      <c r="H758" s="83">
        <f>G758</f>
        <v>0.09100000000000001</v>
      </c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54">
        <f aca="true" t="shared" si="103" ref="T758:T794">D758/12*5</f>
        <v>0.041666666666666664</v>
      </c>
      <c r="U758" s="155"/>
      <c r="V758" s="243"/>
      <c r="W758" s="30"/>
      <c r="X758" s="30"/>
      <c r="Y758" s="30"/>
      <c r="Z758" s="30"/>
      <c r="AA758" s="30">
        <v>0.1</v>
      </c>
      <c r="AB758" s="30">
        <f t="shared" si="96"/>
        <v>0</v>
      </c>
      <c r="AC758" s="31"/>
      <c r="AD758" s="31">
        <f aca="true" t="shared" si="104" ref="AD758:AD769">SUM(W758:AC758)</f>
        <v>0.1</v>
      </c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>
        <f aca="true" t="shared" si="105" ref="AV758:AV769">SUM(AF758:AU758)</f>
        <v>0</v>
      </c>
    </row>
    <row r="759" spans="2:49" ht="12.75">
      <c r="B759" s="21" t="s">
        <v>380</v>
      </c>
      <c r="C759" s="186" t="s">
        <v>716</v>
      </c>
      <c r="D759" s="20">
        <v>0.1</v>
      </c>
      <c r="E759" s="270"/>
      <c r="F759" s="270"/>
      <c r="G759" s="5">
        <v>0.013</v>
      </c>
      <c r="H759" s="83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54">
        <f t="shared" si="103"/>
        <v>0.041666666666666664</v>
      </c>
      <c r="U759" s="155"/>
      <c r="V759" s="243"/>
      <c r="W759" s="30"/>
      <c r="X759" s="30"/>
      <c r="Y759" s="30"/>
      <c r="Z759" s="30"/>
      <c r="AA759" s="30">
        <v>0.02</v>
      </c>
      <c r="AB759" s="30">
        <f t="shared" si="96"/>
        <v>0.08</v>
      </c>
      <c r="AC759" s="31"/>
      <c r="AD759" s="31">
        <f t="shared" si="104"/>
        <v>0.1</v>
      </c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>
        <v>0.08</v>
      </c>
      <c r="AV759" s="31">
        <f t="shared" si="105"/>
        <v>0.08</v>
      </c>
      <c r="AW759" s="27" t="s">
        <v>856</v>
      </c>
    </row>
    <row r="760" spans="3:49" ht="12.75">
      <c r="C760" s="187" t="s">
        <v>717</v>
      </c>
      <c r="D760" s="191">
        <v>0.062</v>
      </c>
      <c r="E760" s="143"/>
      <c r="F760" s="143"/>
      <c r="G760" s="9"/>
      <c r="H760" s="83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54">
        <f t="shared" si="103"/>
        <v>0.025833333333333333</v>
      </c>
      <c r="U760" s="155"/>
      <c r="V760" s="243"/>
      <c r="W760" s="30"/>
      <c r="X760" s="30"/>
      <c r="Y760" s="30"/>
      <c r="Z760" s="30">
        <v>0.007</v>
      </c>
      <c r="AA760" s="30">
        <v>0.01</v>
      </c>
      <c r="AB760" s="30">
        <f t="shared" si="96"/>
        <v>0.045</v>
      </c>
      <c r="AC760" s="31"/>
      <c r="AD760" s="31">
        <f t="shared" si="104"/>
        <v>0.062</v>
      </c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>
        <v>0.045</v>
      </c>
      <c r="AV760" s="31">
        <f t="shared" si="105"/>
        <v>0.045</v>
      </c>
      <c r="AW760" s="27" t="s">
        <v>934</v>
      </c>
    </row>
    <row r="761" spans="2:48" ht="12.75">
      <c r="B761" s="21"/>
      <c r="C761" s="186" t="s">
        <v>718</v>
      </c>
      <c r="D761" s="20">
        <v>0.058</v>
      </c>
      <c r="E761" s="279"/>
      <c r="F761" s="280"/>
      <c r="G761" s="5"/>
      <c r="H761" s="83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54">
        <f t="shared" si="103"/>
        <v>0.02416666666666667</v>
      </c>
      <c r="U761" s="155"/>
      <c r="V761" s="243"/>
      <c r="W761" s="30"/>
      <c r="X761" s="30"/>
      <c r="Y761" s="30"/>
      <c r="Z761" s="30">
        <v>0.058</v>
      </c>
      <c r="AA761" s="30"/>
      <c r="AB761" s="30">
        <f t="shared" si="96"/>
        <v>0</v>
      </c>
      <c r="AC761" s="31"/>
      <c r="AD761" s="31">
        <f t="shared" si="104"/>
        <v>0.058</v>
      </c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>
        <f t="shared" si="105"/>
        <v>0</v>
      </c>
    </row>
    <row r="762" spans="2:48" ht="12.75" hidden="1">
      <c r="B762" s="21"/>
      <c r="C762" s="77" t="s">
        <v>873</v>
      </c>
      <c r="D762" s="20"/>
      <c r="E762" s="270"/>
      <c r="F762" s="270"/>
      <c r="G762" s="5"/>
      <c r="H762" s="83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54">
        <f t="shared" si="103"/>
        <v>0</v>
      </c>
      <c r="U762" s="155"/>
      <c r="V762" s="243"/>
      <c r="W762" s="30"/>
      <c r="X762" s="30"/>
      <c r="Y762" s="30"/>
      <c r="Z762" s="30"/>
      <c r="AA762" s="30"/>
      <c r="AB762" s="30">
        <f t="shared" si="96"/>
        <v>0</v>
      </c>
      <c r="AC762" s="31"/>
      <c r="AD762" s="31">
        <f t="shared" si="104"/>
        <v>0</v>
      </c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>
        <f t="shared" si="105"/>
        <v>0</v>
      </c>
    </row>
    <row r="763" spans="2:48" ht="12.75" hidden="1">
      <c r="B763" s="21" t="s">
        <v>378</v>
      </c>
      <c r="C763" s="77" t="s">
        <v>379</v>
      </c>
      <c r="D763" s="20"/>
      <c r="E763" s="270"/>
      <c r="F763" s="270"/>
      <c r="G763" s="5">
        <v>0.009</v>
      </c>
      <c r="H763" s="83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54"/>
      <c r="U763" s="155"/>
      <c r="V763" s="243"/>
      <c r="W763" s="30"/>
      <c r="X763" s="30"/>
      <c r="Y763" s="30"/>
      <c r="Z763" s="30"/>
      <c r="AA763" s="30"/>
      <c r="AB763" s="30"/>
      <c r="AC763" s="31"/>
      <c r="AD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</row>
    <row r="764" spans="2:48" ht="12.75" hidden="1">
      <c r="B764" s="21" t="s">
        <v>508</v>
      </c>
      <c r="C764" s="77" t="s">
        <v>501</v>
      </c>
      <c r="D764" s="20"/>
      <c r="E764" s="270"/>
      <c r="F764" s="270"/>
      <c r="G764" s="5">
        <v>0.003</v>
      </c>
      <c r="H764" s="83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54">
        <f t="shared" si="103"/>
        <v>0</v>
      </c>
      <c r="U764" s="155"/>
      <c r="V764" s="243"/>
      <c r="W764" s="30"/>
      <c r="X764" s="30"/>
      <c r="Y764" s="30"/>
      <c r="Z764" s="30"/>
      <c r="AA764" s="30"/>
      <c r="AB764" s="30">
        <f t="shared" si="96"/>
        <v>0</v>
      </c>
      <c r="AC764" s="31"/>
      <c r="AD764" s="31">
        <f t="shared" si="104"/>
        <v>0</v>
      </c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>
        <f t="shared" si="105"/>
        <v>0</v>
      </c>
    </row>
    <row r="765" spans="2:48" ht="12.75" hidden="1">
      <c r="B765" s="21" t="s">
        <v>509</v>
      </c>
      <c r="C765" s="77" t="s">
        <v>502</v>
      </c>
      <c r="D765" s="20"/>
      <c r="E765" s="270"/>
      <c r="F765" s="270"/>
      <c r="G765" s="5">
        <v>0.002</v>
      </c>
      <c r="H765" s="83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54">
        <f t="shared" si="103"/>
        <v>0</v>
      </c>
      <c r="U765" s="155"/>
      <c r="V765" s="243"/>
      <c r="W765" s="30"/>
      <c r="X765" s="30"/>
      <c r="Y765" s="30"/>
      <c r="Z765" s="30"/>
      <c r="AA765" s="30"/>
      <c r="AB765" s="30">
        <f t="shared" si="96"/>
        <v>0</v>
      </c>
      <c r="AC765" s="31"/>
      <c r="AD765" s="31">
        <f t="shared" si="104"/>
        <v>0</v>
      </c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>
        <f t="shared" si="105"/>
        <v>0</v>
      </c>
    </row>
    <row r="766" spans="2:48" ht="12.75" hidden="1">
      <c r="B766" s="21" t="s">
        <v>1253</v>
      </c>
      <c r="C766" s="77" t="s">
        <v>1254</v>
      </c>
      <c r="D766" s="20"/>
      <c r="E766" s="270"/>
      <c r="F766" s="270"/>
      <c r="G766" s="5">
        <v>0.006</v>
      </c>
      <c r="H766" s="83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54">
        <f t="shared" si="103"/>
        <v>0</v>
      </c>
      <c r="U766" s="155"/>
      <c r="V766" s="243"/>
      <c r="W766" s="30"/>
      <c r="X766" s="30"/>
      <c r="Y766" s="30"/>
      <c r="Z766" s="30"/>
      <c r="AA766" s="30"/>
      <c r="AB766" s="30"/>
      <c r="AC766" s="31"/>
      <c r="AD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</row>
    <row r="767" spans="2:48" ht="12.75" hidden="1">
      <c r="B767" s="21" t="s">
        <v>510</v>
      </c>
      <c r="C767" s="77" t="s">
        <v>503</v>
      </c>
      <c r="D767" s="20"/>
      <c r="E767" s="270"/>
      <c r="F767" s="270"/>
      <c r="G767" s="5">
        <v>0.057</v>
      </c>
      <c r="H767" s="83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54">
        <f t="shared" si="103"/>
        <v>0</v>
      </c>
      <c r="U767" s="155"/>
      <c r="V767" s="243"/>
      <c r="W767" s="30"/>
      <c r="X767" s="30"/>
      <c r="Y767" s="30"/>
      <c r="Z767" s="30"/>
      <c r="AA767" s="30"/>
      <c r="AB767" s="30">
        <f t="shared" si="96"/>
        <v>0</v>
      </c>
      <c r="AC767" s="31"/>
      <c r="AD767" s="31">
        <f t="shared" si="104"/>
        <v>0</v>
      </c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>
        <f t="shared" si="105"/>
        <v>0</v>
      </c>
    </row>
    <row r="768" spans="2:48" ht="12.75" hidden="1">
      <c r="B768" s="21" t="s">
        <v>1255</v>
      </c>
      <c r="C768" s="77" t="s">
        <v>1256</v>
      </c>
      <c r="D768" s="20"/>
      <c r="E768" s="270"/>
      <c r="F768" s="270"/>
      <c r="G768" s="5">
        <v>0.002</v>
      </c>
      <c r="H768" s="83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54">
        <f t="shared" si="103"/>
        <v>0</v>
      </c>
      <c r="U768" s="155"/>
      <c r="V768" s="243"/>
      <c r="W768" s="30"/>
      <c r="X768" s="30"/>
      <c r="Y768" s="30"/>
      <c r="Z768" s="30"/>
      <c r="AA768" s="30"/>
      <c r="AB768" s="30"/>
      <c r="AC768" s="31"/>
      <c r="AD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</row>
    <row r="769" spans="2:48" ht="12.75" hidden="1">
      <c r="B769" s="21" t="s">
        <v>511</v>
      </c>
      <c r="C769" s="77" t="s">
        <v>504</v>
      </c>
      <c r="D769" s="20"/>
      <c r="E769" s="270"/>
      <c r="F769" s="270"/>
      <c r="G769" s="5">
        <v>0.028</v>
      </c>
      <c r="H769" s="83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54">
        <f t="shared" si="103"/>
        <v>0</v>
      </c>
      <c r="U769" s="155"/>
      <c r="V769" s="243"/>
      <c r="W769" s="30"/>
      <c r="X769" s="30"/>
      <c r="Y769" s="30"/>
      <c r="Z769" s="30"/>
      <c r="AA769" s="30"/>
      <c r="AB769" s="30">
        <f t="shared" si="96"/>
        <v>0</v>
      </c>
      <c r="AC769" s="31"/>
      <c r="AD769" s="31">
        <f t="shared" si="104"/>
        <v>0</v>
      </c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>
        <f t="shared" si="105"/>
        <v>0</v>
      </c>
    </row>
    <row r="770" spans="2:48" ht="12.75" hidden="1">
      <c r="B770" s="21" t="s">
        <v>512</v>
      </c>
      <c r="C770" s="77" t="s">
        <v>505</v>
      </c>
      <c r="D770" s="20"/>
      <c r="E770" s="270"/>
      <c r="F770" s="270"/>
      <c r="G770" s="5">
        <v>0.005</v>
      </c>
      <c r="H770" s="83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54">
        <f t="shared" si="103"/>
        <v>0</v>
      </c>
      <c r="U770" s="155"/>
      <c r="V770" s="243"/>
      <c r="W770" s="30"/>
      <c r="X770" s="30"/>
      <c r="Y770" s="30"/>
      <c r="Z770" s="30"/>
      <c r="AA770" s="30"/>
      <c r="AB770" s="30">
        <f t="shared" si="96"/>
        <v>0</v>
      </c>
      <c r="AC770" s="31"/>
      <c r="AD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</row>
    <row r="771" spans="2:48" ht="12.75" hidden="1">
      <c r="B771" s="21" t="s">
        <v>513</v>
      </c>
      <c r="C771" s="77" t="s">
        <v>506</v>
      </c>
      <c r="D771" s="20"/>
      <c r="E771" s="270"/>
      <c r="F771" s="270"/>
      <c r="G771" s="5">
        <v>0.001</v>
      </c>
      <c r="H771" s="83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54">
        <f t="shared" si="103"/>
        <v>0</v>
      </c>
      <c r="U771" s="155"/>
      <c r="V771" s="243"/>
      <c r="W771" s="30"/>
      <c r="X771" s="30"/>
      <c r="Y771" s="30"/>
      <c r="Z771" s="30"/>
      <c r="AA771" s="30"/>
      <c r="AB771" s="30">
        <f t="shared" si="96"/>
        <v>0</v>
      </c>
      <c r="AC771" s="31"/>
      <c r="AD771" s="31">
        <f>SUM(W771:AC771)</f>
        <v>0</v>
      </c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>
        <f>SUM(AF771:AU771)</f>
        <v>0</v>
      </c>
    </row>
    <row r="772" spans="2:48" ht="12.75" hidden="1">
      <c r="B772" s="21" t="s">
        <v>514</v>
      </c>
      <c r="C772" s="77" t="s">
        <v>507</v>
      </c>
      <c r="D772" s="20"/>
      <c r="E772" s="270"/>
      <c r="F772" s="270"/>
      <c r="G772" s="5">
        <v>0.008</v>
      </c>
      <c r="H772" s="83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54">
        <f t="shared" si="103"/>
        <v>0</v>
      </c>
      <c r="U772" s="155"/>
      <c r="V772" s="243"/>
      <c r="W772" s="30"/>
      <c r="X772" s="30"/>
      <c r="Y772" s="30"/>
      <c r="Z772" s="30"/>
      <c r="AA772" s="30"/>
      <c r="AB772" s="30">
        <f t="shared" si="96"/>
        <v>0</v>
      </c>
      <c r="AC772" s="31"/>
      <c r="AD772" s="31">
        <f>SUM(W772:AC772)</f>
        <v>0</v>
      </c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>
        <f>SUM(AF772:AU772)</f>
        <v>0</v>
      </c>
    </row>
    <row r="773" spans="2:48" ht="12.75" hidden="1">
      <c r="B773" s="21"/>
      <c r="C773" s="77"/>
      <c r="D773" s="20"/>
      <c r="E773" s="270"/>
      <c r="F773" s="270"/>
      <c r="G773" s="5"/>
      <c r="H773" s="83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54">
        <f t="shared" si="103"/>
        <v>0</v>
      </c>
      <c r="U773" s="155"/>
      <c r="V773" s="243"/>
      <c r="W773" s="30"/>
      <c r="X773" s="30"/>
      <c r="Y773" s="30"/>
      <c r="Z773" s="30"/>
      <c r="AA773" s="30"/>
      <c r="AB773" s="30">
        <f t="shared" si="96"/>
        <v>0</v>
      </c>
      <c r="AC773" s="31"/>
      <c r="AD773" s="31">
        <f>SUM(W773:AC773)</f>
        <v>0</v>
      </c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>
        <f>SUM(AF773:AU773)</f>
        <v>0</v>
      </c>
    </row>
    <row r="774" spans="2:48" ht="12.75" hidden="1">
      <c r="B774" s="21"/>
      <c r="C774" s="77"/>
      <c r="D774" s="20"/>
      <c r="E774" s="270"/>
      <c r="F774" s="270"/>
      <c r="G774" s="5"/>
      <c r="H774" s="83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54">
        <f t="shared" si="103"/>
        <v>0</v>
      </c>
      <c r="U774" s="155"/>
      <c r="V774" s="243"/>
      <c r="W774" s="30"/>
      <c r="X774" s="30"/>
      <c r="Y774" s="30"/>
      <c r="Z774" s="30"/>
      <c r="AA774" s="30"/>
      <c r="AB774" s="30">
        <f t="shared" si="96"/>
        <v>0</v>
      </c>
      <c r="AC774" s="31"/>
      <c r="AD774" s="31">
        <f>SUM(W774:AC774)</f>
        <v>0</v>
      </c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>
        <f>SUM(AF774:AU774)</f>
        <v>0</v>
      </c>
    </row>
    <row r="775" spans="2:48" ht="12.75" hidden="1">
      <c r="B775" s="21"/>
      <c r="C775" s="77"/>
      <c r="D775" s="20"/>
      <c r="E775" s="270"/>
      <c r="F775" s="270"/>
      <c r="G775" s="5"/>
      <c r="H775" s="83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54">
        <f t="shared" si="103"/>
        <v>0</v>
      </c>
      <c r="U775" s="155"/>
      <c r="V775" s="243"/>
      <c r="W775" s="30"/>
      <c r="X775" s="30"/>
      <c r="Y775" s="30"/>
      <c r="Z775" s="30"/>
      <c r="AA775" s="30"/>
      <c r="AB775" s="30">
        <f aca="true" t="shared" si="106" ref="AB775:AB784">SUM(AF775:AU775)</f>
        <v>0</v>
      </c>
      <c r="AC775" s="31"/>
      <c r="AD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</row>
    <row r="776" spans="1:48" ht="12.75" hidden="1">
      <c r="A776" s="27">
        <f>-AF809</f>
        <v>0</v>
      </c>
      <c r="B776" s="21"/>
      <c r="C776" s="77"/>
      <c r="D776" s="20"/>
      <c r="E776" s="270"/>
      <c r="F776" s="270"/>
      <c r="G776" s="5"/>
      <c r="H776" s="83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54">
        <f t="shared" si="103"/>
        <v>0</v>
      </c>
      <c r="U776" s="155"/>
      <c r="V776" s="243"/>
      <c r="W776" s="30"/>
      <c r="X776" s="30"/>
      <c r="Y776" s="30"/>
      <c r="Z776" s="30"/>
      <c r="AA776" s="30"/>
      <c r="AB776" s="30">
        <f t="shared" si="106"/>
        <v>0</v>
      </c>
      <c r="AC776" s="31"/>
      <c r="AD776" s="31">
        <f>SUM(W776:AC776)</f>
        <v>0</v>
      </c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>
        <f>SUM(AF776:AU776)</f>
        <v>0</v>
      </c>
    </row>
    <row r="777" spans="2:48" ht="12.75" hidden="1">
      <c r="B777" s="21"/>
      <c r="C777" s="77"/>
      <c r="D777" s="20"/>
      <c r="E777" s="270"/>
      <c r="F777" s="270"/>
      <c r="G777" s="5"/>
      <c r="H777" s="83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54">
        <f t="shared" si="103"/>
        <v>0</v>
      </c>
      <c r="U777" s="155"/>
      <c r="V777" s="243"/>
      <c r="W777" s="30"/>
      <c r="X777" s="30"/>
      <c r="Y777" s="30"/>
      <c r="Z777" s="30"/>
      <c r="AA777" s="30"/>
      <c r="AB777" s="30">
        <f t="shared" si="106"/>
        <v>0</v>
      </c>
      <c r="AC777" s="31"/>
      <c r="AD777" s="31">
        <f>SUM(W777:AC777)</f>
        <v>0</v>
      </c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>
        <f>SUM(AF777:AU777)</f>
        <v>0</v>
      </c>
    </row>
    <row r="778" spans="2:48" ht="12.75" hidden="1">
      <c r="B778" s="21"/>
      <c r="C778" s="77"/>
      <c r="D778" s="20"/>
      <c r="E778" s="270"/>
      <c r="F778" s="270"/>
      <c r="G778" s="5"/>
      <c r="H778" s="83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54">
        <f t="shared" si="103"/>
        <v>0</v>
      </c>
      <c r="U778" s="155"/>
      <c r="V778" s="243"/>
      <c r="W778" s="30"/>
      <c r="X778" s="30"/>
      <c r="Y778" s="30"/>
      <c r="Z778" s="30"/>
      <c r="AA778" s="30"/>
      <c r="AB778" s="30">
        <f t="shared" si="106"/>
        <v>0</v>
      </c>
      <c r="AC778" s="31"/>
      <c r="AD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</row>
    <row r="779" spans="2:48" ht="12.75" hidden="1">
      <c r="B779" s="21"/>
      <c r="C779" s="77"/>
      <c r="D779" s="20"/>
      <c r="E779" s="270"/>
      <c r="F779" s="270"/>
      <c r="G779" s="5"/>
      <c r="H779" s="83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54">
        <f t="shared" si="103"/>
        <v>0</v>
      </c>
      <c r="U779" s="155"/>
      <c r="V779" s="243"/>
      <c r="W779" s="30"/>
      <c r="X779" s="30"/>
      <c r="Y779" s="30"/>
      <c r="Z779" s="30"/>
      <c r="AA779" s="30"/>
      <c r="AB779" s="30">
        <f t="shared" si="106"/>
        <v>0</v>
      </c>
      <c r="AC779" s="31"/>
      <c r="AD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</row>
    <row r="780" spans="1:48" ht="12.75">
      <c r="A780" s="27" t="s">
        <v>765</v>
      </c>
      <c r="B780" s="21"/>
      <c r="C780" s="133" t="s">
        <v>705</v>
      </c>
      <c r="D780" s="20">
        <f>G780</f>
        <v>0.121</v>
      </c>
      <c r="E780" s="270"/>
      <c r="F780" s="270"/>
      <c r="G780" s="5">
        <f>SUM(G762:G779)</f>
        <v>0.121</v>
      </c>
      <c r="H780" s="83">
        <f>G780</f>
        <v>0.121</v>
      </c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54">
        <f t="shared" si="103"/>
        <v>0.050416666666666665</v>
      </c>
      <c r="U780" s="155"/>
      <c r="V780" s="243"/>
      <c r="W780" s="30"/>
      <c r="X780" s="30"/>
      <c r="Y780" s="30"/>
      <c r="Z780" s="30"/>
      <c r="AA780" s="30">
        <f>G780</f>
        <v>0.121</v>
      </c>
      <c r="AB780" s="30">
        <f t="shared" si="106"/>
        <v>0</v>
      </c>
      <c r="AC780" s="31"/>
      <c r="AD780" s="31">
        <f aca="true" t="shared" si="107" ref="AD780:AD794">SUM(W780:AC780)</f>
        <v>0.121</v>
      </c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>
        <f>SUM(AF780:AU780)</f>
        <v>0</v>
      </c>
    </row>
    <row r="781" spans="3:48" ht="12.75">
      <c r="C781" s="45" t="s">
        <v>1161</v>
      </c>
      <c r="D781" s="174">
        <v>0.735</v>
      </c>
      <c r="E781" s="143"/>
      <c r="F781" s="143"/>
      <c r="G781" s="9"/>
      <c r="H781" s="83"/>
      <c r="I781" s="12"/>
      <c r="J781" s="12"/>
      <c r="K781" s="12">
        <v>0.685</v>
      </c>
      <c r="L781" s="12"/>
      <c r="M781" s="12">
        <v>0.05</v>
      </c>
      <c r="N781" s="12"/>
      <c r="O781" s="12"/>
      <c r="P781" s="12"/>
      <c r="Q781" s="12"/>
      <c r="R781" s="12"/>
      <c r="S781" s="12"/>
      <c r="T781" s="154">
        <f t="shared" si="103"/>
        <v>0.30625</v>
      </c>
      <c r="U781" s="155"/>
      <c r="V781" s="243">
        <v>38509</v>
      </c>
      <c r="W781" s="30"/>
      <c r="X781" s="30"/>
      <c r="Y781" s="30"/>
      <c r="Z781" s="30"/>
      <c r="AA781" s="30">
        <v>0.735</v>
      </c>
      <c r="AB781" s="30">
        <f t="shared" si="106"/>
        <v>0</v>
      </c>
      <c r="AC781" s="31"/>
      <c r="AD781" s="31">
        <f t="shared" si="107"/>
        <v>0.735</v>
      </c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</row>
    <row r="782" spans="3:48" ht="12.75">
      <c r="C782" s="45" t="s">
        <v>1160</v>
      </c>
      <c r="D782" s="174">
        <v>0.445</v>
      </c>
      <c r="E782" s="143"/>
      <c r="F782" s="143"/>
      <c r="G782" s="9"/>
      <c r="H782" s="83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54">
        <f t="shared" si="103"/>
        <v>0.18541666666666667</v>
      </c>
      <c r="U782" s="155"/>
      <c r="V782" s="243"/>
      <c r="W782" s="30"/>
      <c r="X782" s="30"/>
      <c r="Y782" s="30"/>
      <c r="Z782" s="30"/>
      <c r="AA782" s="30">
        <v>0.445</v>
      </c>
      <c r="AB782" s="30">
        <f t="shared" si="106"/>
        <v>0</v>
      </c>
      <c r="AC782" s="31"/>
      <c r="AD782" s="31">
        <f t="shared" si="107"/>
        <v>0.445</v>
      </c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</row>
    <row r="783" spans="3:48" ht="12.75">
      <c r="C783" s="45" t="s">
        <v>1163</v>
      </c>
      <c r="D783" s="174">
        <v>0.058</v>
      </c>
      <c r="E783" s="143"/>
      <c r="F783" s="143"/>
      <c r="G783" s="9"/>
      <c r="H783" s="83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54">
        <f t="shared" si="103"/>
        <v>0.02416666666666667</v>
      </c>
      <c r="U783" s="155"/>
      <c r="V783" s="243"/>
      <c r="W783" s="30"/>
      <c r="X783" s="30"/>
      <c r="Y783" s="30"/>
      <c r="Z783" s="164"/>
      <c r="AA783" s="30">
        <v>0.058</v>
      </c>
      <c r="AB783" s="30">
        <f t="shared" si="106"/>
        <v>0</v>
      </c>
      <c r="AC783" s="31"/>
      <c r="AD783" s="31">
        <f t="shared" si="107"/>
        <v>0.058</v>
      </c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</row>
    <row r="784" spans="3:48" ht="12.75">
      <c r="C784" s="45" t="s">
        <v>609</v>
      </c>
      <c r="D784" s="174"/>
      <c r="E784" s="143"/>
      <c r="F784" s="143"/>
      <c r="G784" s="9">
        <v>0.008</v>
      </c>
      <c r="H784" s="83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54">
        <f t="shared" si="103"/>
        <v>0</v>
      </c>
      <c r="U784" s="155"/>
      <c r="V784" s="243"/>
      <c r="W784" s="30"/>
      <c r="X784" s="30"/>
      <c r="Y784" s="30"/>
      <c r="Z784" s="164"/>
      <c r="AA784" s="30"/>
      <c r="AB784" s="30">
        <f t="shared" si="106"/>
        <v>0</v>
      </c>
      <c r="AC784" s="31"/>
      <c r="AD784" s="31">
        <f t="shared" si="107"/>
        <v>0</v>
      </c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</row>
    <row r="785" spans="3:48" ht="12.75">
      <c r="C785" s="187" t="s">
        <v>912</v>
      </c>
      <c r="D785" s="191">
        <v>0.069</v>
      </c>
      <c r="E785" s="143"/>
      <c r="F785" s="143"/>
      <c r="G785" s="9"/>
      <c r="H785" s="83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54">
        <f t="shared" si="103"/>
        <v>0.028750000000000005</v>
      </c>
      <c r="U785" s="155"/>
      <c r="V785" s="243"/>
      <c r="W785" s="30"/>
      <c r="X785" s="30"/>
      <c r="Y785" s="30"/>
      <c r="Z785" s="164"/>
      <c r="AA785" s="30">
        <v>0.006</v>
      </c>
      <c r="AB785" s="314">
        <f aca="true" t="shared" si="108" ref="AB785:AB794">SUM(AF785:AU785)</f>
        <v>0.063</v>
      </c>
      <c r="AC785" s="31"/>
      <c r="AD785" s="31">
        <f t="shared" si="107"/>
        <v>0.069</v>
      </c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>
        <f>0.052+0.011</f>
        <v>0.063</v>
      </c>
      <c r="AV785" s="31">
        <f aca="true" t="shared" si="109" ref="AV785:AV794">SUM(AF785:AU785)</f>
        <v>0.063</v>
      </c>
    </row>
    <row r="786" spans="3:48" ht="12.75">
      <c r="C786" s="187" t="s">
        <v>913</v>
      </c>
      <c r="D786" s="191">
        <v>0.026</v>
      </c>
      <c r="E786" s="143"/>
      <c r="F786" s="143"/>
      <c r="G786" s="9"/>
      <c r="H786" s="83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54">
        <f t="shared" si="103"/>
        <v>0.010833333333333334</v>
      </c>
      <c r="U786" s="155"/>
      <c r="V786" s="243"/>
      <c r="W786" s="30"/>
      <c r="X786" s="30"/>
      <c r="Y786" s="30"/>
      <c r="Z786" s="164"/>
      <c r="AA786" s="30">
        <f>0.1-0.1</f>
        <v>0</v>
      </c>
      <c r="AB786" s="314">
        <f t="shared" si="108"/>
        <v>0.026</v>
      </c>
      <c r="AC786" s="31"/>
      <c r="AD786" s="31">
        <f t="shared" si="107"/>
        <v>0.026</v>
      </c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>
        <v>0.026</v>
      </c>
      <c r="AS786" s="31"/>
      <c r="AT786" s="31"/>
      <c r="AU786" s="31"/>
      <c r="AV786" s="31">
        <f t="shared" si="109"/>
        <v>0.026</v>
      </c>
    </row>
    <row r="787" spans="3:49" ht="12.75">
      <c r="C787" s="187" t="s">
        <v>914</v>
      </c>
      <c r="D787" s="191">
        <v>0.07</v>
      </c>
      <c r="E787" s="143"/>
      <c r="F787" s="143"/>
      <c r="G787" s="9"/>
      <c r="H787" s="83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54">
        <f t="shared" si="103"/>
        <v>0.029166666666666667</v>
      </c>
      <c r="U787" s="155"/>
      <c r="V787" s="243"/>
      <c r="W787" s="30"/>
      <c r="X787" s="30"/>
      <c r="Y787" s="30"/>
      <c r="Z787" s="164"/>
      <c r="AA787" s="30">
        <v>0.038</v>
      </c>
      <c r="AB787" s="314">
        <f t="shared" si="108"/>
        <v>0.02</v>
      </c>
      <c r="AC787" s="31">
        <v>0.012</v>
      </c>
      <c r="AD787" s="31">
        <f t="shared" si="107"/>
        <v>0.06999999999999999</v>
      </c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>
        <v>0.02</v>
      </c>
      <c r="AT787" s="31"/>
      <c r="AU787" s="31"/>
      <c r="AV787" s="31">
        <f t="shared" si="109"/>
        <v>0.02</v>
      </c>
      <c r="AW787" s="27" t="s">
        <v>266</v>
      </c>
    </row>
    <row r="788" spans="3:49" ht="12.75">
      <c r="C788" s="187" t="s">
        <v>915</v>
      </c>
      <c r="D788" s="191">
        <v>0.009</v>
      </c>
      <c r="E788" s="143"/>
      <c r="F788" s="143"/>
      <c r="G788" s="9"/>
      <c r="H788" s="83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54">
        <f t="shared" si="103"/>
        <v>0.0037499999999999994</v>
      </c>
      <c r="U788" s="155"/>
      <c r="V788" s="243"/>
      <c r="W788" s="30"/>
      <c r="X788" s="30"/>
      <c r="Y788" s="30"/>
      <c r="Z788" s="164"/>
      <c r="AA788" s="30">
        <f>0.1-0.1</f>
        <v>0</v>
      </c>
      <c r="AB788" s="314">
        <f t="shared" si="108"/>
        <v>0</v>
      </c>
      <c r="AC788" s="31">
        <v>0.009</v>
      </c>
      <c r="AD788" s="31">
        <f t="shared" si="107"/>
        <v>0.009</v>
      </c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>
        <f t="shared" si="109"/>
        <v>0</v>
      </c>
      <c r="AW788" s="27" t="s">
        <v>935</v>
      </c>
    </row>
    <row r="789" spans="3:48" ht="12.75">
      <c r="C789" s="187" t="s">
        <v>916</v>
      </c>
      <c r="D789" s="191">
        <v>0.004</v>
      </c>
      <c r="E789" s="143"/>
      <c r="F789" s="143"/>
      <c r="G789" s="9"/>
      <c r="H789" s="83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54">
        <f t="shared" si="103"/>
        <v>0.0016666666666666666</v>
      </c>
      <c r="U789" s="155"/>
      <c r="V789" s="243"/>
      <c r="W789" s="30"/>
      <c r="X789" s="30"/>
      <c r="Y789" s="30"/>
      <c r="Z789" s="164"/>
      <c r="AA789" s="315">
        <v>0.004</v>
      </c>
      <c r="AB789" s="314">
        <f t="shared" si="108"/>
        <v>0</v>
      </c>
      <c r="AC789" s="31"/>
      <c r="AD789" s="31">
        <f t="shared" si="107"/>
        <v>0.004</v>
      </c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>
        <f t="shared" si="109"/>
        <v>0</v>
      </c>
    </row>
    <row r="790" spans="3:48" ht="12.75">
      <c r="C790" s="202" t="s">
        <v>917</v>
      </c>
      <c r="D790" s="191">
        <v>0.01</v>
      </c>
      <c r="E790" s="143"/>
      <c r="F790" s="143"/>
      <c r="G790" s="9"/>
      <c r="H790" s="83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54">
        <f t="shared" si="103"/>
        <v>0.004166666666666667</v>
      </c>
      <c r="U790" s="155"/>
      <c r="V790" s="243"/>
      <c r="W790" s="30"/>
      <c r="X790" s="30"/>
      <c r="Y790" s="30"/>
      <c r="Z790" s="164"/>
      <c r="AA790" s="315">
        <v>0.01</v>
      </c>
      <c r="AB790" s="314">
        <f t="shared" si="108"/>
        <v>0</v>
      </c>
      <c r="AC790" s="31"/>
      <c r="AD790" s="31">
        <f t="shared" si="107"/>
        <v>0.01</v>
      </c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>
        <f t="shared" si="109"/>
        <v>0</v>
      </c>
    </row>
    <row r="791" spans="3:48" ht="12.75">
      <c r="C791" s="202" t="s">
        <v>918</v>
      </c>
      <c r="D791" s="191">
        <v>0.075</v>
      </c>
      <c r="E791" s="143"/>
      <c r="F791" s="143"/>
      <c r="G791" s="9"/>
      <c r="H791" s="83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54">
        <f t="shared" si="103"/>
        <v>0.031249999999999997</v>
      </c>
      <c r="U791" s="155"/>
      <c r="V791" s="243"/>
      <c r="W791" s="30"/>
      <c r="X791" s="30"/>
      <c r="Y791" s="30"/>
      <c r="Z791" s="164"/>
      <c r="AA791" s="315">
        <v>0.075</v>
      </c>
      <c r="AB791" s="314">
        <f t="shared" si="108"/>
        <v>0</v>
      </c>
      <c r="AC791" s="31"/>
      <c r="AD791" s="31">
        <f t="shared" si="107"/>
        <v>0.075</v>
      </c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>
        <f t="shared" si="109"/>
        <v>0</v>
      </c>
    </row>
    <row r="792" spans="2:49" ht="12.75">
      <c r="B792" s="27" t="s">
        <v>1251</v>
      </c>
      <c r="C792" s="187" t="s">
        <v>919</v>
      </c>
      <c r="D792" s="191">
        <f>0.018+0.032+0.097+0.001</f>
        <v>0.14800000000000002</v>
      </c>
      <c r="E792" s="143"/>
      <c r="F792" s="143"/>
      <c r="G792" s="9">
        <v>0.037</v>
      </c>
      <c r="H792" s="83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54">
        <f t="shared" si="103"/>
        <v>0.061666666666666675</v>
      </c>
      <c r="U792" s="155"/>
      <c r="V792" s="243"/>
      <c r="W792" s="30"/>
      <c r="X792" s="30"/>
      <c r="Y792" s="30"/>
      <c r="Z792" s="164">
        <f>0.004+0.005</f>
        <v>0.009000000000000001</v>
      </c>
      <c r="AA792" s="315">
        <f>0.014+0.028+0.097</f>
        <v>0.139</v>
      </c>
      <c r="AB792" s="314">
        <f t="shared" si="108"/>
        <v>0</v>
      </c>
      <c r="AC792" s="31"/>
      <c r="AD792" s="31">
        <f t="shared" si="107"/>
        <v>0.14800000000000002</v>
      </c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>
        <f t="shared" si="109"/>
        <v>0</v>
      </c>
      <c r="AW792" s="27" t="s">
        <v>260</v>
      </c>
    </row>
    <row r="793" spans="3:48" ht="12.75">
      <c r="C793" s="187" t="s">
        <v>834</v>
      </c>
      <c r="D793" s="191">
        <v>0.001</v>
      </c>
      <c r="E793" s="143"/>
      <c r="F793" s="143"/>
      <c r="G793" s="9">
        <v>0.001</v>
      </c>
      <c r="H793" s="83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54">
        <f t="shared" si="103"/>
        <v>0.00041666666666666664</v>
      </c>
      <c r="U793" s="155"/>
      <c r="V793" s="243"/>
      <c r="W793" s="30"/>
      <c r="X793" s="30"/>
      <c r="Y793" s="30"/>
      <c r="Z793" s="164"/>
      <c r="AA793" s="315">
        <v>0.001</v>
      </c>
      <c r="AB793" s="314">
        <f t="shared" si="108"/>
        <v>0</v>
      </c>
      <c r="AC793" s="31"/>
      <c r="AD793" s="31">
        <f t="shared" si="107"/>
        <v>0.001</v>
      </c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>
        <f t="shared" si="109"/>
        <v>0</v>
      </c>
    </row>
    <row r="794" spans="2:48" ht="12.75">
      <c r="B794" s="27" t="s">
        <v>515</v>
      </c>
      <c r="C794" s="187" t="s">
        <v>920</v>
      </c>
      <c r="D794" s="191">
        <v>0.003</v>
      </c>
      <c r="E794" s="143"/>
      <c r="F794" s="143"/>
      <c r="G794" s="9">
        <v>0.003</v>
      </c>
      <c r="H794" s="83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54">
        <f t="shared" si="103"/>
        <v>0.00125</v>
      </c>
      <c r="U794" s="155"/>
      <c r="V794" s="243"/>
      <c r="W794" s="30"/>
      <c r="X794" s="30"/>
      <c r="Y794" s="30"/>
      <c r="Z794" s="164"/>
      <c r="AA794" s="315">
        <v>0.003</v>
      </c>
      <c r="AB794" s="314">
        <f t="shared" si="108"/>
        <v>0</v>
      </c>
      <c r="AC794" s="31"/>
      <c r="AD794" s="31">
        <f t="shared" si="107"/>
        <v>0.003</v>
      </c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>
        <f t="shared" si="109"/>
        <v>0</v>
      </c>
    </row>
    <row r="795" spans="2:48" ht="12.75">
      <c r="B795" s="27" t="s">
        <v>381</v>
      </c>
      <c r="C795" s="187" t="s">
        <v>921</v>
      </c>
      <c r="D795" s="191">
        <f>0.279-0.095</f>
        <v>0.18400000000000002</v>
      </c>
      <c r="E795" s="143"/>
      <c r="F795" s="143"/>
      <c r="G795" s="9">
        <v>0.001</v>
      </c>
      <c r="H795" s="83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54">
        <f aca="true" t="shared" si="110" ref="T795:T802">D795/12*5</f>
        <v>0.07666666666666667</v>
      </c>
      <c r="U795" s="155"/>
      <c r="V795" s="243"/>
      <c r="W795" s="30"/>
      <c r="X795" s="30"/>
      <c r="Y795" s="30"/>
      <c r="Z795" s="164"/>
      <c r="AA795" s="315">
        <f>0.279-0.095</f>
        <v>0.18400000000000002</v>
      </c>
      <c r="AB795" s="314">
        <f aca="true" t="shared" si="111" ref="AB795:AB803">SUM(AF795:AU795)</f>
        <v>0</v>
      </c>
      <c r="AC795" s="31"/>
      <c r="AD795" s="31">
        <f aca="true" t="shared" si="112" ref="AD795:AD804">SUM(W795:AC795)</f>
        <v>0.18400000000000002</v>
      </c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>
        <f>SUM(AF795:AU795)</f>
        <v>0</v>
      </c>
    </row>
    <row r="796" spans="3:48" ht="12.75">
      <c r="C796" s="187" t="s">
        <v>922</v>
      </c>
      <c r="D796" s="191">
        <v>0.001</v>
      </c>
      <c r="E796" s="143"/>
      <c r="F796" s="143"/>
      <c r="G796" s="9"/>
      <c r="H796" s="83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54">
        <f t="shared" si="110"/>
        <v>0.00041666666666666664</v>
      </c>
      <c r="U796" s="155"/>
      <c r="V796" s="243"/>
      <c r="W796" s="30"/>
      <c r="X796" s="30"/>
      <c r="Y796" s="30"/>
      <c r="Z796" s="164"/>
      <c r="AA796" s="315">
        <v>0.001</v>
      </c>
      <c r="AB796" s="314">
        <f t="shared" si="111"/>
        <v>0</v>
      </c>
      <c r="AC796" s="31"/>
      <c r="AD796" s="31">
        <f t="shared" si="112"/>
        <v>0.001</v>
      </c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>
        <f>SUM(AF796:AU796)</f>
        <v>0</v>
      </c>
    </row>
    <row r="797" spans="2:48" ht="12.75">
      <c r="B797" s="27" t="s">
        <v>372</v>
      </c>
      <c r="C797" s="187" t="s">
        <v>500</v>
      </c>
      <c r="D797" s="191"/>
      <c r="E797" s="143"/>
      <c r="F797" s="143"/>
      <c r="G797" s="9">
        <v>0.119</v>
      </c>
      <c r="H797" s="83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54">
        <f t="shared" si="110"/>
        <v>0</v>
      </c>
      <c r="U797" s="155"/>
      <c r="V797" s="243"/>
      <c r="W797" s="30"/>
      <c r="X797" s="30"/>
      <c r="Y797" s="30"/>
      <c r="Z797" s="164"/>
      <c r="AA797" s="315"/>
      <c r="AB797" s="314">
        <f t="shared" si="111"/>
        <v>0</v>
      </c>
      <c r="AC797" s="31"/>
      <c r="AD797" s="31">
        <f t="shared" si="112"/>
        <v>0</v>
      </c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</row>
    <row r="798" spans="2:48" ht="12.75">
      <c r="B798" s="27" t="s">
        <v>373</v>
      </c>
      <c r="C798" s="45" t="s">
        <v>723</v>
      </c>
      <c r="D798" s="175">
        <v>0.03</v>
      </c>
      <c r="E798" s="279"/>
      <c r="F798" s="280"/>
      <c r="G798" s="9">
        <v>0.004</v>
      </c>
      <c r="H798" s="83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54">
        <f t="shared" si="110"/>
        <v>0.0125</v>
      </c>
      <c r="U798" s="155"/>
      <c r="V798" s="243"/>
      <c r="W798" s="30"/>
      <c r="X798" s="30"/>
      <c r="Y798" s="30"/>
      <c r="Z798" s="164"/>
      <c r="AA798" s="30"/>
      <c r="AB798" s="314">
        <f t="shared" si="111"/>
        <v>0.03</v>
      </c>
      <c r="AC798" s="31"/>
      <c r="AD798" s="31">
        <f t="shared" si="112"/>
        <v>0.03</v>
      </c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>
        <v>0.03</v>
      </c>
      <c r="AQ798" s="31"/>
      <c r="AR798" s="31"/>
      <c r="AS798" s="31"/>
      <c r="AT798" s="31"/>
      <c r="AU798" s="31"/>
      <c r="AV798" s="31">
        <f>SUM(AF798:AU798)</f>
        <v>0.03</v>
      </c>
    </row>
    <row r="799" spans="2:48" ht="13.5" customHeight="1">
      <c r="B799" s="27" t="s">
        <v>374</v>
      </c>
      <c r="C799" s="45" t="s">
        <v>824</v>
      </c>
      <c r="D799" s="175">
        <v>0.01</v>
      </c>
      <c r="E799" s="279"/>
      <c r="F799" s="280"/>
      <c r="G799" s="9">
        <v>0.001</v>
      </c>
      <c r="H799" s="83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54">
        <f t="shared" si="110"/>
        <v>0.004166666666666667</v>
      </c>
      <c r="U799" s="155"/>
      <c r="V799" s="243"/>
      <c r="W799" s="30"/>
      <c r="X799" s="30"/>
      <c r="Y799" s="30"/>
      <c r="Z799" s="30"/>
      <c r="AA799" s="30"/>
      <c r="AB799" s="30">
        <f t="shared" si="111"/>
        <v>0.01</v>
      </c>
      <c r="AC799" s="31"/>
      <c r="AD799" s="31">
        <f t="shared" si="112"/>
        <v>0.01</v>
      </c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>
        <v>0.01</v>
      </c>
      <c r="AQ799" s="31"/>
      <c r="AR799" s="31"/>
      <c r="AS799" s="31"/>
      <c r="AT799" s="31"/>
      <c r="AU799" s="31"/>
      <c r="AV799" s="31">
        <f>SUM(AF799:AU799)</f>
        <v>0.01</v>
      </c>
    </row>
    <row r="800" spans="2:48" ht="13.5" customHeight="1">
      <c r="B800" s="27" t="s">
        <v>376</v>
      </c>
      <c r="C800" s="45" t="s">
        <v>375</v>
      </c>
      <c r="D800" s="175"/>
      <c r="E800" s="279"/>
      <c r="F800" s="280"/>
      <c r="G800" s="9">
        <v>0.001</v>
      </c>
      <c r="H800" s="83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54"/>
      <c r="U800" s="155"/>
      <c r="V800" s="243"/>
      <c r="W800" s="30"/>
      <c r="X800" s="30"/>
      <c r="Y800" s="30"/>
      <c r="Z800" s="30"/>
      <c r="AA800" s="30"/>
      <c r="AB800" s="30">
        <f t="shared" si="111"/>
        <v>0</v>
      </c>
      <c r="AC800" s="31"/>
      <c r="AD800" s="31">
        <f t="shared" si="112"/>
        <v>0</v>
      </c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</row>
    <row r="801" spans="2:48" ht="12.75">
      <c r="B801" s="27" t="s">
        <v>377</v>
      </c>
      <c r="C801" s="45" t="s">
        <v>725</v>
      </c>
      <c r="D801" s="175">
        <v>0.006</v>
      </c>
      <c r="E801" s="279"/>
      <c r="F801" s="280"/>
      <c r="G801" s="9"/>
      <c r="H801" s="83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54">
        <f t="shared" si="110"/>
        <v>0.0025</v>
      </c>
      <c r="U801" s="155"/>
      <c r="V801" s="243"/>
      <c r="W801" s="30"/>
      <c r="X801" s="30"/>
      <c r="Y801" s="30"/>
      <c r="Z801" s="30"/>
      <c r="AA801" s="30"/>
      <c r="AB801" s="30">
        <f t="shared" si="111"/>
        <v>0.006</v>
      </c>
      <c r="AC801" s="31"/>
      <c r="AD801" s="31">
        <f t="shared" si="112"/>
        <v>0.006</v>
      </c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>
        <v>0.006</v>
      </c>
      <c r="AQ801" s="31"/>
      <c r="AR801" s="31"/>
      <c r="AS801" s="31"/>
      <c r="AT801" s="31"/>
      <c r="AU801" s="31"/>
      <c r="AV801" s="31">
        <f>SUM(AF801:AU801)</f>
        <v>0.006</v>
      </c>
    </row>
    <row r="802" spans="2:48" ht="12.75">
      <c r="B802" s="21" t="s">
        <v>1258</v>
      </c>
      <c r="C802" s="297" t="s">
        <v>516</v>
      </c>
      <c r="D802" s="174"/>
      <c r="E802" s="270"/>
      <c r="F802" s="270"/>
      <c r="G802" s="5">
        <v>0.096</v>
      </c>
      <c r="H802" s="83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54">
        <f t="shared" si="110"/>
        <v>0</v>
      </c>
      <c r="U802" s="155"/>
      <c r="V802" s="243"/>
      <c r="W802" s="30"/>
      <c r="X802" s="30"/>
      <c r="Y802" s="30"/>
      <c r="Z802" s="30"/>
      <c r="AA802" s="30"/>
      <c r="AB802" s="30">
        <f t="shared" si="111"/>
        <v>0</v>
      </c>
      <c r="AC802" s="31"/>
      <c r="AD802" s="31">
        <f t="shared" si="112"/>
        <v>0</v>
      </c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</row>
    <row r="803" spans="1:48" ht="13.5" thickBot="1">
      <c r="A803" s="27" t="s">
        <v>860</v>
      </c>
      <c r="B803" s="21"/>
      <c r="C803" s="77"/>
      <c r="D803" s="20"/>
      <c r="E803" s="279"/>
      <c r="F803" s="280"/>
      <c r="G803" s="5"/>
      <c r="H803" s="83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54"/>
      <c r="U803" s="155"/>
      <c r="V803" s="243"/>
      <c r="W803" s="30"/>
      <c r="X803" s="30"/>
      <c r="Y803" s="30"/>
      <c r="Z803" s="30">
        <f>0.034-0.034</f>
        <v>0</v>
      </c>
      <c r="AA803" s="30"/>
      <c r="AB803" s="30">
        <f t="shared" si="111"/>
        <v>0</v>
      </c>
      <c r="AC803" s="31">
        <f>0.015-0.015</f>
        <v>0</v>
      </c>
      <c r="AD803" s="31">
        <f t="shared" si="112"/>
        <v>0</v>
      </c>
      <c r="AF803" s="31"/>
      <c r="AG803" s="31"/>
      <c r="AH803" s="31"/>
      <c r="AI803" s="31">
        <f>0.169-0.169</f>
        <v>0</v>
      </c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>
        <f>SUM(AF803:AU803)</f>
        <v>0</v>
      </c>
    </row>
    <row r="804" spans="2:48" ht="13.5" thickBot="1">
      <c r="B804" s="78"/>
      <c r="C804" s="7" t="s">
        <v>902</v>
      </c>
      <c r="D804" s="19">
        <f>SUM(D702:D803)</f>
        <v>11.569999999999995</v>
      </c>
      <c r="E804" s="277"/>
      <c r="F804" s="278"/>
      <c r="G804" s="19">
        <f>SUM(G702:G803)-G758-G780</f>
        <v>1.5389999999999981</v>
      </c>
      <c r="H804" s="89">
        <f aca="true" t="shared" si="113" ref="H804:T804">SUM(H702:H803)</f>
        <v>0.23500000000000001</v>
      </c>
      <c r="I804" s="90">
        <f t="shared" si="113"/>
        <v>0.065</v>
      </c>
      <c r="J804" s="90">
        <f t="shared" si="113"/>
        <v>0.159</v>
      </c>
      <c r="K804" s="90">
        <f t="shared" si="113"/>
        <v>0.8440000000000001</v>
      </c>
      <c r="L804" s="90">
        <f t="shared" si="113"/>
        <v>0.185</v>
      </c>
      <c r="M804" s="90">
        <f t="shared" si="113"/>
        <v>0.23200000000000004</v>
      </c>
      <c r="N804" s="90">
        <f t="shared" si="113"/>
        <v>0.195</v>
      </c>
      <c r="O804" s="90">
        <f t="shared" si="113"/>
        <v>0.193</v>
      </c>
      <c r="P804" s="90">
        <f t="shared" si="113"/>
        <v>0.082</v>
      </c>
      <c r="Q804" s="90">
        <f t="shared" si="113"/>
        <v>0.05</v>
      </c>
      <c r="R804" s="90">
        <f t="shared" si="113"/>
        <v>0</v>
      </c>
      <c r="S804" s="90">
        <f t="shared" si="113"/>
        <v>0.013</v>
      </c>
      <c r="T804" s="308">
        <f t="shared" si="113"/>
        <v>4.820250000000001</v>
      </c>
      <c r="U804" s="83"/>
      <c r="V804" s="243"/>
      <c r="W804" s="24">
        <f aca="true" t="shared" si="114" ref="W804:AC804">SUM(W702:W803)</f>
        <v>0</v>
      </c>
      <c r="X804" s="24">
        <f t="shared" si="114"/>
        <v>0</v>
      </c>
      <c r="Y804" s="24">
        <f t="shared" si="114"/>
        <v>5.667</v>
      </c>
      <c r="Z804" s="24">
        <f t="shared" si="114"/>
        <v>0.10800000000000001</v>
      </c>
      <c r="AA804" s="24">
        <f>SUM(AA702:AA803)</f>
        <v>4.563000000000001</v>
      </c>
      <c r="AB804" s="24">
        <f t="shared" si="114"/>
        <v>0.8460000000000001</v>
      </c>
      <c r="AC804" s="24">
        <f t="shared" si="114"/>
        <v>0.386</v>
      </c>
      <c r="AD804" s="24">
        <f t="shared" si="112"/>
        <v>11.57</v>
      </c>
      <c r="AF804" s="24">
        <f aca="true" t="shared" si="115" ref="AF804:AU804">SUM(AF702:AF803)</f>
        <v>0</v>
      </c>
      <c r="AG804" s="24">
        <f t="shared" si="115"/>
        <v>0</v>
      </c>
      <c r="AH804" s="24">
        <f t="shared" si="115"/>
        <v>0</v>
      </c>
      <c r="AI804" s="24">
        <f t="shared" si="115"/>
        <v>0.174</v>
      </c>
      <c r="AJ804" s="24">
        <f t="shared" si="115"/>
        <v>0</v>
      </c>
      <c r="AK804" s="24">
        <f t="shared" si="115"/>
        <v>0</v>
      </c>
      <c r="AL804" s="24">
        <f t="shared" si="115"/>
        <v>0</v>
      </c>
      <c r="AM804" s="24">
        <f t="shared" si="115"/>
        <v>0</v>
      </c>
      <c r="AN804" s="24">
        <f t="shared" si="115"/>
        <v>0</v>
      </c>
      <c r="AO804" s="24">
        <f t="shared" si="115"/>
        <v>0</v>
      </c>
      <c r="AP804" s="24">
        <f t="shared" si="115"/>
        <v>0.046</v>
      </c>
      <c r="AQ804" s="24">
        <f t="shared" si="115"/>
        <v>0</v>
      </c>
      <c r="AR804" s="24">
        <f t="shared" si="115"/>
        <v>0.126</v>
      </c>
      <c r="AS804" s="24">
        <f t="shared" si="115"/>
        <v>0.02</v>
      </c>
      <c r="AT804" s="24">
        <f t="shared" si="115"/>
        <v>0</v>
      </c>
      <c r="AU804" s="24">
        <f t="shared" si="115"/>
        <v>0.48</v>
      </c>
      <c r="AV804" s="34">
        <f>SUM(AF804:AU804)</f>
        <v>0.846</v>
      </c>
    </row>
    <row r="805" spans="2:48" ht="13.5" thickBot="1">
      <c r="B805" s="78"/>
      <c r="C805" s="5"/>
      <c r="D805" s="18"/>
      <c r="F805" s="269"/>
      <c r="G805" s="162"/>
      <c r="H805" s="82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12"/>
      <c r="T805" s="156"/>
      <c r="U805" s="156"/>
      <c r="V805" s="243"/>
      <c r="W805" s="30"/>
      <c r="X805" s="30"/>
      <c r="Y805" s="30"/>
      <c r="Z805" s="30"/>
      <c r="AA805" s="30"/>
      <c r="AB805" s="30"/>
      <c r="AC805" s="31"/>
      <c r="AD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</row>
    <row r="806" spans="2:48" ht="13.5" thickBot="1">
      <c r="B806" s="78"/>
      <c r="C806" s="23" t="s">
        <v>893</v>
      </c>
      <c r="D806" s="19">
        <f>D375+D405+D540+D575+D603+D637+D659+D699+D804</f>
        <v>118.06899999999997</v>
      </c>
      <c r="E806" s="277"/>
      <c r="F806" s="278"/>
      <c r="G806" s="19">
        <f aca="true" t="shared" si="116" ref="G806:T806">G375+G405+G540+G575+G603+G637+G659+G699+G804</f>
        <v>30.38699999999999</v>
      </c>
      <c r="H806" s="47">
        <f t="shared" si="116"/>
        <v>1.669</v>
      </c>
      <c r="I806" s="91">
        <f t="shared" si="116"/>
        <v>0.6100000000000001</v>
      </c>
      <c r="J806" s="91">
        <f t="shared" si="116"/>
        <v>3.8439999999999994</v>
      </c>
      <c r="K806" s="91">
        <f t="shared" si="116"/>
        <v>5.938</v>
      </c>
      <c r="L806" s="91">
        <f t="shared" si="116"/>
        <v>5.662</v>
      </c>
      <c r="M806" s="91">
        <f t="shared" si="116"/>
        <v>8.233999999999998</v>
      </c>
      <c r="N806" s="91">
        <f t="shared" si="116"/>
        <v>5.022</v>
      </c>
      <c r="O806" s="91">
        <f t="shared" si="116"/>
        <v>4.598999999999998</v>
      </c>
      <c r="P806" s="91">
        <f t="shared" si="116"/>
        <v>3.4729999999999994</v>
      </c>
      <c r="Q806" s="91">
        <f t="shared" si="116"/>
        <v>3.3269999999999995</v>
      </c>
      <c r="R806" s="91">
        <f t="shared" si="116"/>
        <v>3.4339999999999997</v>
      </c>
      <c r="S806" s="91">
        <f t="shared" si="116"/>
        <v>13.418999999999999</v>
      </c>
      <c r="T806" s="199">
        <f t="shared" si="116"/>
        <v>42.92566666666667</v>
      </c>
      <c r="U806" s="45"/>
      <c r="V806" s="243"/>
      <c r="W806" s="165">
        <f aca="true" t="shared" si="117" ref="W806:AD806">W375+W405+W540+W575+W603+W637+W659+W699+W804</f>
        <v>10.581</v>
      </c>
      <c r="X806" s="19">
        <f t="shared" si="117"/>
        <v>1.827</v>
      </c>
      <c r="Y806" s="19">
        <f t="shared" si="117"/>
        <v>12.482</v>
      </c>
      <c r="Z806" s="19">
        <f t="shared" si="117"/>
        <v>1.2970000000000002</v>
      </c>
      <c r="AA806" s="19">
        <f t="shared" si="117"/>
        <v>21.654000000000003</v>
      </c>
      <c r="AB806" s="19">
        <f t="shared" si="117"/>
        <v>68.772</v>
      </c>
      <c r="AC806" s="19">
        <f t="shared" si="117"/>
        <v>1.456</v>
      </c>
      <c r="AD806" s="19">
        <f t="shared" si="117"/>
        <v>118.06899999999999</v>
      </c>
      <c r="AF806" s="19">
        <f aca="true" t="shared" si="118" ref="AF806:AV806">AF375+AF405+AF540+AF575+AF603+AF637+AF659+AF699+AF804</f>
        <v>9.009</v>
      </c>
      <c r="AG806" s="19">
        <f t="shared" si="118"/>
        <v>0.514</v>
      </c>
      <c r="AH806" s="19">
        <f t="shared" si="118"/>
        <v>3.054</v>
      </c>
      <c r="AI806" s="19">
        <f t="shared" si="118"/>
        <v>3.984</v>
      </c>
      <c r="AJ806" s="19">
        <f t="shared" si="118"/>
        <v>0.086</v>
      </c>
      <c r="AK806" s="19">
        <f t="shared" si="118"/>
        <v>2.606</v>
      </c>
      <c r="AL806" s="19">
        <f t="shared" si="118"/>
        <v>0.103</v>
      </c>
      <c r="AM806" s="19">
        <f t="shared" si="118"/>
        <v>0.6759999999999999</v>
      </c>
      <c r="AN806" s="19">
        <f t="shared" si="118"/>
        <v>1.6370000000000002</v>
      </c>
      <c r="AO806" s="19">
        <f t="shared" si="118"/>
        <v>2.8040000000000003</v>
      </c>
      <c r="AP806" s="19">
        <f t="shared" si="118"/>
        <v>4.368</v>
      </c>
      <c r="AQ806" s="19">
        <f t="shared" si="118"/>
        <v>2.324</v>
      </c>
      <c r="AR806" s="19">
        <f t="shared" si="118"/>
        <v>0.126</v>
      </c>
      <c r="AS806" s="19">
        <f t="shared" si="118"/>
        <v>18.24</v>
      </c>
      <c r="AT806" s="19">
        <f t="shared" si="118"/>
        <v>0</v>
      </c>
      <c r="AU806" s="19">
        <f t="shared" si="118"/>
        <v>19.241</v>
      </c>
      <c r="AV806" s="19">
        <f t="shared" si="118"/>
        <v>68.772</v>
      </c>
    </row>
    <row r="807" spans="2:48" ht="12.75">
      <c r="B807" s="78"/>
      <c r="C807" s="3" t="s">
        <v>747</v>
      </c>
      <c r="D807" s="13"/>
      <c r="E807" s="141"/>
      <c r="F807" s="141"/>
      <c r="G807" s="13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3"/>
      <c r="V807" s="243"/>
      <c r="W807" s="189">
        <v>0.2</v>
      </c>
      <c r="X807" s="13"/>
      <c r="Y807" s="13"/>
      <c r="Z807" s="13"/>
      <c r="AA807" s="13">
        <v>-0.2</v>
      </c>
      <c r="AB807" s="13"/>
      <c r="AC807" s="13"/>
      <c r="AD807" s="7">
        <f>SUM(W807:AC807)</f>
        <v>0</v>
      </c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</row>
    <row r="808" spans="2:48" ht="13.5" thickBot="1">
      <c r="B808" s="78"/>
      <c r="C808" s="25" t="s">
        <v>746</v>
      </c>
      <c r="D808" s="188"/>
      <c r="E808" s="266"/>
      <c r="F808" s="266"/>
      <c r="G808" s="188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25"/>
      <c r="W808" s="190">
        <v>6.8</v>
      </c>
      <c r="X808" s="188"/>
      <c r="Y808" s="188"/>
      <c r="Z808" s="188"/>
      <c r="AA808" s="188">
        <v>-6.8</v>
      </c>
      <c r="AB808" s="188"/>
      <c r="AC808" s="188"/>
      <c r="AD808" s="188">
        <f>SUM(W808:AC808)</f>
        <v>0</v>
      </c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188"/>
      <c r="AP808" s="188"/>
      <c r="AQ808" s="188"/>
      <c r="AR808" s="188"/>
      <c r="AS808" s="188"/>
      <c r="AT808" s="188"/>
      <c r="AU808" s="188"/>
      <c r="AV808" s="188"/>
    </row>
    <row r="809" spans="2:48" ht="13.5" thickBot="1">
      <c r="B809" s="78"/>
      <c r="C809" s="146" t="s">
        <v>876</v>
      </c>
      <c r="D809" s="19"/>
      <c r="E809" s="277"/>
      <c r="F809" s="278"/>
      <c r="G809" s="19"/>
      <c r="H809" s="47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2"/>
      <c r="T809" s="92"/>
      <c r="W809" s="165">
        <f aca="true" t="shared" si="119" ref="W809:AD809">W829</f>
        <v>0</v>
      </c>
      <c r="X809" s="19">
        <f t="shared" si="119"/>
        <v>0</v>
      </c>
      <c r="Y809" s="19">
        <f t="shared" si="119"/>
        <v>0</v>
      </c>
      <c r="Z809" s="19">
        <f t="shared" si="119"/>
        <v>0</v>
      </c>
      <c r="AA809" s="19">
        <f t="shared" si="119"/>
        <v>0</v>
      </c>
      <c r="AB809" s="19">
        <f t="shared" si="119"/>
        <v>0</v>
      </c>
      <c r="AC809" s="19">
        <f t="shared" si="119"/>
        <v>0</v>
      </c>
      <c r="AD809" s="19">
        <f t="shared" si="119"/>
        <v>0</v>
      </c>
      <c r="AF809" s="19">
        <f aca="true" t="shared" si="120" ref="AF809:AV809">AF829</f>
        <v>0</v>
      </c>
      <c r="AG809" s="19">
        <f t="shared" si="120"/>
        <v>0</v>
      </c>
      <c r="AH809" s="19">
        <f t="shared" si="120"/>
        <v>0</v>
      </c>
      <c r="AI809" s="19">
        <f t="shared" si="120"/>
        <v>0</v>
      </c>
      <c r="AJ809" s="19">
        <f t="shared" si="120"/>
        <v>0</v>
      </c>
      <c r="AK809" s="19">
        <f t="shared" si="120"/>
        <v>0</v>
      </c>
      <c r="AL809" s="19">
        <f t="shared" si="120"/>
        <v>0</v>
      </c>
      <c r="AM809" s="19">
        <f t="shared" si="120"/>
        <v>0</v>
      </c>
      <c r="AN809" s="19">
        <f t="shared" si="120"/>
        <v>0</v>
      </c>
      <c r="AO809" s="19">
        <f t="shared" si="120"/>
        <v>0</v>
      </c>
      <c r="AP809" s="19">
        <f t="shared" si="120"/>
        <v>0</v>
      </c>
      <c r="AQ809" s="19">
        <f t="shared" si="120"/>
        <v>0</v>
      </c>
      <c r="AR809" s="19">
        <f t="shared" si="120"/>
        <v>0</v>
      </c>
      <c r="AS809" s="19">
        <f t="shared" si="120"/>
        <v>0</v>
      </c>
      <c r="AT809" s="19">
        <f t="shared" si="120"/>
        <v>0</v>
      </c>
      <c r="AU809" s="19">
        <f t="shared" si="120"/>
        <v>0</v>
      </c>
      <c r="AV809" s="19">
        <f t="shared" si="120"/>
        <v>0</v>
      </c>
    </row>
    <row r="810" spans="3:48" ht="13.5" thickBot="1">
      <c r="C810" s="23" t="s">
        <v>859</v>
      </c>
      <c r="D810" s="19">
        <f>SUM(D806:D809)</f>
        <v>118.06899999999997</v>
      </c>
      <c r="E810" s="277"/>
      <c r="F810" s="278"/>
      <c r="G810" s="19">
        <f>SUM(G806:G809)</f>
        <v>30.38699999999999</v>
      </c>
      <c r="H810" s="47">
        <f>H806</f>
        <v>1.669</v>
      </c>
      <c r="I810" s="91">
        <f>I806</f>
        <v>0.6100000000000001</v>
      </c>
      <c r="J810" s="91">
        <f>J806</f>
        <v>3.8439999999999994</v>
      </c>
      <c r="K810" s="91">
        <f aca="true" t="shared" si="121" ref="K810:T810">K806</f>
        <v>5.938</v>
      </c>
      <c r="L810" s="91">
        <f t="shared" si="121"/>
        <v>5.662</v>
      </c>
      <c r="M810" s="91">
        <f t="shared" si="121"/>
        <v>8.233999999999998</v>
      </c>
      <c r="N810" s="91">
        <f t="shared" si="121"/>
        <v>5.022</v>
      </c>
      <c r="O810" s="91">
        <f t="shared" si="121"/>
        <v>4.598999999999998</v>
      </c>
      <c r="P810" s="91">
        <f t="shared" si="121"/>
        <v>3.4729999999999994</v>
      </c>
      <c r="Q810" s="91">
        <f t="shared" si="121"/>
        <v>3.3269999999999995</v>
      </c>
      <c r="R810" s="91">
        <f t="shared" si="121"/>
        <v>3.4339999999999997</v>
      </c>
      <c r="S810" s="91">
        <f t="shared" si="121"/>
        <v>13.418999999999999</v>
      </c>
      <c r="T810" s="199">
        <f t="shared" si="121"/>
        <v>42.92566666666667</v>
      </c>
      <c r="W810" s="165">
        <f>SUM(W806:W809)</f>
        <v>17.581</v>
      </c>
      <c r="X810" s="19">
        <f aca="true" t="shared" si="122" ref="X810:AD810">SUM(X806:X809)</f>
        <v>1.827</v>
      </c>
      <c r="Y810" s="19">
        <f t="shared" si="122"/>
        <v>12.482</v>
      </c>
      <c r="Z810" s="19">
        <f t="shared" si="122"/>
        <v>1.2970000000000002</v>
      </c>
      <c r="AA810" s="19">
        <f t="shared" si="122"/>
        <v>14.654000000000003</v>
      </c>
      <c r="AB810" s="19">
        <f t="shared" si="122"/>
        <v>68.772</v>
      </c>
      <c r="AC810" s="19">
        <f t="shared" si="122"/>
        <v>1.456</v>
      </c>
      <c r="AD810" s="19">
        <f t="shared" si="122"/>
        <v>118.06899999999999</v>
      </c>
      <c r="AF810" s="19">
        <f aca="true" t="shared" si="123" ref="AF810:AU810">SUM(AF806:AF809)</f>
        <v>9.009</v>
      </c>
      <c r="AG810" s="19">
        <f t="shared" si="123"/>
        <v>0.514</v>
      </c>
      <c r="AH810" s="19">
        <f t="shared" si="123"/>
        <v>3.054</v>
      </c>
      <c r="AI810" s="19">
        <f t="shared" si="123"/>
        <v>3.984</v>
      </c>
      <c r="AJ810" s="19">
        <f t="shared" si="123"/>
        <v>0.086</v>
      </c>
      <c r="AK810" s="19">
        <f t="shared" si="123"/>
        <v>2.606</v>
      </c>
      <c r="AL810" s="19">
        <f t="shared" si="123"/>
        <v>0.103</v>
      </c>
      <c r="AM810" s="19">
        <f t="shared" si="123"/>
        <v>0.6759999999999999</v>
      </c>
      <c r="AN810" s="19">
        <f t="shared" si="123"/>
        <v>1.6370000000000002</v>
      </c>
      <c r="AO810" s="19">
        <f t="shared" si="123"/>
        <v>2.8040000000000003</v>
      </c>
      <c r="AP810" s="19">
        <f t="shared" si="123"/>
        <v>4.368</v>
      </c>
      <c r="AQ810" s="19">
        <f t="shared" si="123"/>
        <v>2.324</v>
      </c>
      <c r="AR810" s="19">
        <f t="shared" si="123"/>
        <v>0.126</v>
      </c>
      <c r="AS810" s="19">
        <f t="shared" si="123"/>
        <v>18.24</v>
      </c>
      <c r="AT810" s="19">
        <f t="shared" si="123"/>
        <v>0</v>
      </c>
      <c r="AU810" s="19">
        <f t="shared" si="123"/>
        <v>19.241</v>
      </c>
      <c r="AV810" s="19">
        <f>SUM(AV806:AV809)</f>
        <v>68.772</v>
      </c>
    </row>
    <row r="811" spans="3:48" ht="12.75">
      <c r="C811" s="146" t="s">
        <v>519</v>
      </c>
      <c r="D811" s="250"/>
      <c r="F811" s="287"/>
      <c r="G811" s="10"/>
      <c r="H811" s="6"/>
      <c r="W811" s="10"/>
      <c r="X811" s="10"/>
      <c r="Y811" s="10"/>
      <c r="Z811" s="10"/>
      <c r="AA811" s="10"/>
      <c r="AB811" s="10"/>
      <c r="AC811" s="10"/>
      <c r="AD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</row>
    <row r="812" spans="3:48" ht="12.75">
      <c r="C812" s="146" t="s">
        <v>562</v>
      </c>
      <c r="D812" s="10"/>
      <c r="E812" s="287"/>
      <c r="F812" s="287"/>
      <c r="G812" s="10"/>
      <c r="H812" s="6"/>
      <c r="W812" s="10"/>
      <c r="X812" s="10"/>
      <c r="Y812" s="10"/>
      <c r="Z812" s="10"/>
      <c r="AA812" s="10"/>
      <c r="AB812" s="10"/>
      <c r="AC812" s="10"/>
      <c r="AD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</row>
    <row r="813" spans="3:48" ht="12.75">
      <c r="C813" s="146" t="s">
        <v>560</v>
      </c>
      <c r="D813" s="10"/>
      <c r="E813" s="287"/>
      <c r="F813" s="287"/>
      <c r="G813" s="10"/>
      <c r="H813" s="6"/>
      <c r="W813" s="10"/>
      <c r="X813" s="10"/>
      <c r="Y813" s="10"/>
      <c r="Z813" s="10"/>
      <c r="AA813" s="10"/>
      <c r="AB813" s="10"/>
      <c r="AC813" s="10"/>
      <c r="AD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</row>
    <row r="814" spans="3:48" ht="12.75">
      <c r="C814" s="146" t="s">
        <v>561</v>
      </c>
      <c r="D814" s="10"/>
      <c r="E814" s="287"/>
      <c r="F814" s="287"/>
      <c r="G814" s="10"/>
      <c r="H814" s="6"/>
      <c r="W814" s="10"/>
      <c r="X814" s="10"/>
      <c r="Y814" s="10"/>
      <c r="Z814" s="10"/>
      <c r="AA814" s="10"/>
      <c r="AB814" s="10"/>
      <c r="AC814" s="10"/>
      <c r="AD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</row>
    <row r="815" spans="3:48" ht="12.75" hidden="1">
      <c r="C815" s="146"/>
      <c r="D815" s="10"/>
      <c r="E815" s="287"/>
      <c r="F815" s="287"/>
      <c r="G815" s="10"/>
      <c r="H815" s="6"/>
      <c r="W815" s="10"/>
      <c r="X815" s="10"/>
      <c r="Y815" s="10"/>
      <c r="Z815" s="10"/>
      <c r="AA815" s="10"/>
      <c r="AB815" s="10"/>
      <c r="AC815" s="10"/>
      <c r="AD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</row>
    <row r="816" spans="3:48" ht="13.5" hidden="1" thickBot="1">
      <c r="C816" s="146" t="s">
        <v>699</v>
      </c>
      <c r="D816" s="10"/>
      <c r="E816" s="287"/>
      <c r="F816" s="287"/>
      <c r="G816" s="10"/>
      <c r="H816" s="6"/>
      <c r="W816" s="10"/>
      <c r="X816" s="10"/>
      <c r="Y816" s="10"/>
      <c r="Z816" s="10"/>
      <c r="AA816" s="10"/>
      <c r="AB816" s="10"/>
      <c r="AC816" s="10"/>
      <c r="AD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</row>
    <row r="817" spans="3:48" ht="12.75" hidden="1">
      <c r="C817" s="137"/>
      <c r="D817" s="251"/>
      <c r="E817" s="288"/>
      <c r="F817" s="264"/>
      <c r="G817" s="18"/>
      <c r="H817" s="111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244"/>
      <c r="W817" s="116"/>
      <c r="X817" s="112"/>
      <c r="Y817" s="112"/>
      <c r="Z817" s="112"/>
      <c r="AA817" s="112"/>
      <c r="AB817" s="32">
        <f aca="true" t="shared" si="124" ref="AB817:AB828">SUM(AF817:AU817)</f>
        <v>0</v>
      </c>
      <c r="AC817" s="112"/>
      <c r="AD817" s="122">
        <f aca="true" t="shared" si="125" ref="AD817:AD828">SUM(W817:AC817)</f>
        <v>0</v>
      </c>
      <c r="AF817" s="124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38"/>
      <c r="AT817" s="125"/>
      <c r="AU817" s="125"/>
      <c r="AV817" s="117">
        <f>SUM(AF817:AU817)</f>
        <v>0</v>
      </c>
    </row>
    <row r="818" spans="3:48" ht="12.75" hidden="1">
      <c r="C818" s="108"/>
      <c r="D818" s="36"/>
      <c r="E818" s="283"/>
      <c r="F818" s="289"/>
      <c r="H818" s="27"/>
      <c r="W818" s="46"/>
      <c r="X818" s="10"/>
      <c r="Y818" s="10"/>
      <c r="Z818" s="10"/>
      <c r="AA818" s="10"/>
      <c r="AB818" s="30">
        <f t="shared" si="124"/>
        <v>0</v>
      </c>
      <c r="AC818" s="10"/>
      <c r="AD818" s="20">
        <f t="shared" si="125"/>
        <v>0</v>
      </c>
      <c r="AF818" s="126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31"/>
      <c r="AS818" s="17"/>
      <c r="AT818" s="17"/>
      <c r="AU818" s="17"/>
      <c r="AV818" s="118">
        <f aca="true" t="shared" si="126" ref="AV818:AV828">SUM(AF818:AU818)</f>
        <v>0</v>
      </c>
    </row>
    <row r="819" spans="3:48" ht="12.75" hidden="1">
      <c r="C819" s="108"/>
      <c r="D819" s="36"/>
      <c r="E819" s="283"/>
      <c r="F819" s="289"/>
      <c r="H819" s="27"/>
      <c r="W819" s="46"/>
      <c r="X819" s="10"/>
      <c r="Y819" s="10"/>
      <c r="Z819" s="10"/>
      <c r="AA819" s="10"/>
      <c r="AB819" s="30">
        <f t="shared" si="124"/>
        <v>0</v>
      </c>
      <c r="AC819" s="10"/>
      <c r="AD819" s="20">
        <f t="shared" si="125"/>
        <v>0</v>
      </c>
      <c r="AF819" s="126"/>
      <c r="AG819" s="17"/>
      <c r="AH819" s="17"/>
      <c r="AI819" s="31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18">
        <f t="shared" si="126"/>
        <v>0</v>
      </c>
    </row>
    <row r="820" spans="3:48" ht="12.75" hidden="1">
      <c r="C820" s="108"/>
      <c r="D820" s="36"/>
      <c r="E820" s="283"/>
      <c r="F820" s="289"/>
      <c r="H820" s="27"/>
      <c r="W820" s="46"/>
      <c r="X820" s="10"/>
      <c r="Y820" s="10"/>
      <c r="Z820" s="10"/>
      <c r="AA820" s="10"/>
      <c r="AB820" s="30">
        <f t="shared" si="124"/>
        <v>0</v>
      </c>
      <c r="AC820" s="10"/>
      <c r="AD820" s="20">
        <f t="shared" si="125"/>
        <v>0</v>
      </c>
      <c r="AF820" s="126"/>
      <c r="AG820" s="17"/>
      <c r="AH820" s="17"/>
      <c r="AI820" s="17"/>
      <c r="AJ820" s="17"/>
      <c r="AK820" s="17"/>
      <c r="AL820" s="17"/>
      <c r="AM820" s="17"/>
      <c r="AN820" s="17"/>
      <c r="AO820" s="31"/>
      <c r="AP820" s="17"/>
      <c r="AQ820" s="17"/>
      <c r="AR820" s="17"/>
      <c r="AS820" s="17"/>
      <c r="AT820" s="17"/>
      <c r="AU820" s="17"/>
      <c r="AV820" s="118">
        <f t="shared" si="126"/>
        <v>0</v>
      </c>
    </row>
    <row r="821" spans="3:48" ht="12.75" hidden="1">
      <c r="C821" s="108"/>
      <c r="D821" s="36"/>
      <c r="E821" s="283"/>
      <c r="F821" s="289"/>
      <c r="H821" s="27"/>
      <c r="W821" s="46"/>
      <c r="X821" s="10"/>
      <c r="Y821" s="10"/>
      <c r="Z821" s="10"/>
      <c r="AA821" s="10"/>
      <c r="AB821" s="30">
        <f t="shared" si="124"/>
        <v>0</v>
      </c>
      <c r="AD821" s="20">
        <f t="shared" si="125"/>
        <v>0</v>
      </c>
      <c r="AF821" s="126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18">
        <f t="shared" si="126"/>
        <v>0</v>
      </c>
    </row>
    <row r="822" spans="3:48" ht="12.75" hidden="1">
      <c r="C822" s="108"/>
      <c r="D822" s="36"/>
      <c r="E822" s="283"/>
      <c r="F822" s="289"/>
      <c r="H822" s="27"/>
      <c r="W822" s="46"/>
      <c r="X822" s="10"/>
      <c r="Y822" s="10"/>
      <c r="Z822" s="10"/>
      <c r="AA822" s="10"/>
      <c r="AB822" s="30">
        <f t="shared" si="124"/>
        <v>0</v>
      </c>
      <c r="AD822" s="20">
        <f t="shared" si="125"/>
        <v>0</v>
      </c>
      <c r="AF822" s="126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18">
        <f t="shared" si="126"/>
        <v>0</v>
      </c>
    </row>
    <row r="823" spans="3:48" ht="12.75" hidden="1">
      <c r="C823" s="108"/>
      <c r="D823" s="36"/>
      <c r="E823" s="283"/>
      <c r="F823" s="289"/>
      <c r="H823" s="27"/>
      <c r="W823" s="46"/>
      <c r="X823" s="10"/>
      <c r="Y823" s="10"/>
      <c r="Z823" s="10"/>
      <c r="AA823" s="10"/>
      <c r="AB823" s="30">
        <f t="shared" si="124"/>
        <v>0</v>
      </c>
      <c r="AC823" s="6"/>
      <c r="AD823" s="20">
        <f t="shared" si="125"/>
        <v>0</v>
      </c>
      <c r="AF823" s="126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31"/>
      <c r="AR823" s="17"/>
      <c r="AS823" s="17"/>
      <c r="AT823" s="17"/>
      <c r="AU823" s="17"/>
      <c r="AV823" s="118">
        <f t="shared" si="126"/>
        <v>0</v>
      </c>
    </row>
    <row r="824" spans="3:48" ht="12.75" hidden="1">
      <c r="C824" s="108"/>
      <c r="D824" s="36"/>
      <c r="E824" s="283"/>
      <c r="F824" s="289"/>
      <c r="H824" s="27"/>
      <c r="W824" s="46"/>
      <c r="X824" s="10"/>
      <c r="Y824" s="10"/>
      <c r="Z824" s="10"/>
      <c r="AA824" s="10"/>
      <c r="AB824" s="30">
        <f t="shared" si="124"/>
        <v>0</v>
      </c>
      <c r="AC824" s="10"/>
      <c r="AD824" s="20">
        <f t="shared" si="125"/>
        <v>0</v>
      </c>
      <c r="AF824" s="126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31"/>
      <c r="AR824" s="17"/>
      <c r="AS824" s="17"/>
      <c r="AT824" s="17"/>
      <c r="AU824" s="17"/>
      <c r="AV824" s="118">
        <f t="shared" si="126"/>
        <v>0</v>
      </c>
    </row>
    <row r="825" spans="3:48" ht="12.75" hidden="1">
      <c r="C825" s="108"/>
      <c r="D825" s="36"/>
      <c r="E825" s="283"/>
      <c r="F825" s="289"/>
      <c r="H825" s="27"/>
      <c r="W825" s="46"/>
      <c r="X825" s="10"/>
      <c r="Y825" s="10"/>
      <c r="Z825" s="10"/>
      <c r="AA825" s="10"/>
      <c r="AB825" s="30">
        <f t="shared" si="124"/>
        <v>0</v>
      </c>
      <c r="AC825" s="10"/>
      <c r="AD825" s="20">
        <f t="shared" si="125"/>
        <v>0</v>
      </c>
      <c r="AF825" s="126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31"/>
      <c r="AR825" s="17"/>
      <c r="AS825" s="17"/>
      <c r="AT825" s="17"/>
      <c r="AU825" s="17"/>
      <c r="AV825" s="118">
        <f t="shared" si="126"/>
        <v>0</v>
      </c>
    </row>
    <row r="826" spans="3:48" ht="12.75" hidden="1">
      <c r="C826" s="108"/>
      <c r="D826" s="36"/>
      <c r="E826" s="283"/>
      <c r="F826" s="289"/>
      <c r="H826" s="27"/>
      <c r="W826" s="46"/>
      <c r="X826" s="10"/>
      <c r="Y826" s="10"/>
      <c r="Z826" s="10"/>
      <c r="AA826" s="10"/>
      <c r="AB826" s="30">
        <f t="shared" si="124"/>
        <v>0</v>
      </c>
      <c r="AC826" s="10"/>
      <c r="AD826" s="20">
        <f t="shared" si="125"/>
        <v>0</v>
      </c>
      <c r="AF826" s="126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31"/>
      <c r="AV826" s="118">
        <f t="shared" si="126"/>
        <v>0</v>
      </c>
    </row>
    <row r="827" spans="3:48" ht="12.75" hidden="1">
      <c r="C827" s="108"/>
      <c r="D827" s="36"/>
      <c r="E827" s="283"/>
      <c r="F827" s="289"/>
      <c r="H827" s="27"/>
      <c r="W827" s="46"/>
      <c r="X827" s="10"/>
      <c r="Y827" s="10"/>
      <c r="Z827" s="10"/>
      <c r="AA827" s="10"/>
      <c r="AB827" s="30">
        <f t="shared" si="124"/>
        <v>0</v>
      </c>
      <c r="AD827" s="20">
        <f t="shared" si="125"/>
        <v>0</v>
      </c>
      <c r="AF827" s="126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18">
        <f t="shared" si="126"/>
        <v>0</v>
      </c>
    </row>
    <row r="828" spans="3:48" ht="13.5" hidden="1" thickBot="1">
      <c r="C828" s="139" t="s">
        <v>700</v>
      </c>
      <c r="D828" s="252"/>
      <c r="E828" s="290"/>
      <c r="F828" s="291"/>
      <c r="G828" s="114"/>
      <c r="H828" s="113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245"/>
      <c r="W828" s="119"/>
      <c r="X828" s="115"/>
      <c r="Y828" s="115"/>
      <c r="Z828" s="115"/>
      <c r="AA828" s="115"/>
      <c r="AB828" s="120">
        <f t="shared" si="124"/>
        <v>0</v>
      </c>
      <c r="AC828" s="113"/>
      <c r="AD828" s="123">
        <f t="shared" si="125"/>
        <v>0</v>
      </c>
      <c r="AF828" s="127"/>
      <c r="AG828" s="128"/>
      <c r="AH828" s="128"/>
      <c r="AI828" s="128"/>
      <c r="AJ828" s="128"/>
      <c r="AK828" s="128"/>
      <c r="AL828" s="128"/>
      <c r="AM828" s="128"/>
      <c r="AN828" s="128"/>
      <c r="AO828" s="128"/>
      <c r="AP828" s="128"/>
      <c r="AQ828" s="128"/>
      <c r="AR828" s="128"/>
      <c r="AS828" s="128"/>
      <c r="AT828" s="128"/>
      <c r="AU828" s="128"/>
      <c r="AV828" s="121">
        <f t="shared" si="126"/>
        <v>0</v>
      </c>
    </row>
    <row r="829" spans="3:48" ht="12.75" hidden="1">
      <c r="C829" s="110" t="s">
        <v>797</v>
      </c>
      <c r="D829" s="10"/>
      <c r="E829" s="287"/>
      <c r="F829" s="287"/>
      <c r="G829" s="10"/>
      <c r="H829" s="6"/>
      <c r="W829" s="10">
        <f aca="true" t="shared" si="127" ref="W829:AC829">SUM(W817:W828)</f>
        <v>0</v>
      </c>
      <c r="X829" s="10">
        <f t="shared" si="127"/>
        <v>0</v>
      </c>
      <c r="Y829" s="10">
        <f t="shared" si="127"/>
        <v>0</v>
      </c>
      <c r="Z829" s="10">
        <f t="shared" si="127"/>
        <v>0</v>
      </c>
      <c r="AA829" s="10">
        <f t="shared" si="127"/>
        <v>0</v>
      </c>
      <c r="AB829" s="10">
        <f t="shared" si="127"/>
        <v>0</v>
      </c>
      <c r="AC829" s="10">
        <f t="shared" si="127"/>
        <v>0</v>
      </c>
      <c r="AD829" s="10">
        <f>ROUND(SUM(AD817:AD828),3)</f>
        <v>0</v>
      </c>
      <c r="AF829" s="10">
        <f>SUM(AF817:AF828)</f>
        <v>0</v>
      </c>
      <c r="AG829" s="10">
        <f aca="true" t="shared" si="128" ref="AG829:AV829">SUM(AG817:AG828)</f>
        <v>0</v>
      </c>
      <c r="AH829" s="10">
        <f t="shared" si="128"/>
        <v>0</v>
      </c>
      <c r="AI829" s="10">
        <f t="shared" si="128"/>
        <v>0</v>
      </c>
      <c r="AJ829" s="10">
        <f t="shared" si="128"/>
        <v>0</v>
      </c>
      <c r="AK829" s="10">
        <f t="shared" si="128"/>
        <v>0</v>
      </c>
      <c r="AL829" s="10">
        <f t="shared" si="128"/>
        <v>0</v>
      </c>
      <c r="AM829" s="10">
        <f t="shared" si="128"/>
        <v>0</v>
      </c>
      <c r="AN829" s="10">
        <f t="shared" si="128"/>
        <v>0</v>
      </c>
      <c r="AO829" s="10">
        <f t="shared" si="128"/>
        <v>0</v>
      </c>
      <c r="AP829" s="10">
        <f t="shared" si="128"/>
        <v>0</v>
      </c>
      <c r="AQ829" s="10">
        <f t="shared" si="128"/>
        <v>0</v>
      </c>
      <c r="AR829" s="10">
        <f t="shared" si="128"/>
        <v>0</v>
      </c>
      <c r="AS829" s="10">
        <f t="shared" si="128"/>
        <v>0</v>
      </c>
      <c r="AT829" s="10">
        <f t="shared" si="128"/>
        <v>0</v>
      </c>
      <c r="AU829" s="10">
        <f t="shared" si="128"/>
        <v>0</v>
      </c>
      <c r="AV829" s="10">
        <f t="shared" si="128"/>
        <v>0</v>
      </c>
    </row>
    <row r="830" spans="3:48" ht="12.75" hidden="1">
      <c r="C830" s="110"/>
      <c r="D830" s="10"/>
      <c r="E830" s="287"/>
      <c r="F830" s="287"/>
      <c r="G830" s="10"/>
      <c r="H830" s="6"/>
      <c r="W830" s="10"/>
      <c r="X830" s="10"/>
      <c r="Y830" s="10"/>
      <c r="Z830" s="10"/>
      <c r="AA830" s="10"/>
      <c r="AB830" s="10"/>
      <c r="AC830" s="10"/>
      <c r="AD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</row>
    <row r="831" spans="3:48" ht="12.75" hidden="1">
      <c r="C831" s="110"/>
      <c r="D831" s="10"/>
      <c r="E831" s="287"/>
      <c r="F831" s="287"/>
      <c r="G831" s="10"/>
      <c r="H831" s="6"/>
      <c r="W831" s="10"/>
      <c r="X831" s="10"/>
      <c r="Y831" s="10"/>
      <c r="Z831" s="10"/>
      <c r="AA831" s="10"/>
      <c r="AB831" s="10"/>
      <c r="AC831" s="10"/>
      <c r="AD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</row>
    <row r="832" spans="3:48" ht="18" customHeight="1" hidden="1">
      <c r="C832" s="110" t="s">
        <v>701</v>
      </c>
      <c r="D832" s="10">
        <f>AD832</f>
        <v>118.06899999999999</v>
      </c>
      <c r="E832" s="287"/>
      <c r="F832" s="287"/>
      <c r="G832" s="10"/>
      <c r="H832" s="6"/>
      <c r="W832" s="10">
        <f aca="true" t="shared" si="129" ref="W832:AD832">W829+W806</f>
        <v>10.581</v>
      </c>
      <c r="X832" s="10">
        <f t="shared" si="129"/>
        <v>1.827</v>
      </c>
      <c r="Y832" s="10">
        <f t="shared" si="129"/>
        <v>12.482</v>
      </c>
      <c r="Z832" s="10">
        <f t="shared" si="129"/>
        <v>1.2970000000000002</v>
      </c>
      <c r="AA832" s="10">
        <f t="shared" si="129"/>
        <v>21.654000000000003</v>
      </c>
      <c r="AB832" s="10">
        <f t="shared" si="129"/>
        <v>68.772</v>
      </c>
      <c r="AC832" s="10">
        <f t="shared" si="129"/>
        <v>1.456</v>
      </c>
      <c r="AD832" s="10">
        <f t="shared" si="129"/>
        <v>118.06899999999999</v>
      </c>
      <c r="AF832" s="10">
        <f aca="true" t="shared" si="130" ref="AF832:AV832">AF829+AF806</f>
        <v>9.009</v>
      </c>
      <c r="AG832" s="10">
        <f t="shared" si="130"/>
        <v>0.514</v>
      </c>
      <c r="AH832" s="10">
        <f t="shared" si="130"/>
        <v>3.054</v>
      </c>
      <c r="AI832" s="10">
        <f t="shared" si="130"/>
        <v>3.984</v>
      </c>
      <c r="AJ832" s="10">
        <f t="shared" si="130"/>
        <v>0.086</v>
      </c>
      <c r="AK832" s="10">
        <f t="shared" si="130"/>
        <v>2.606</v>
      </c>
      <c r="AL832" s="10">
        <f t="shared" si="130"/>
        <v>0.103</v>
      </c>
      <c r="AM832" s="10">
        <f t="shared" si="130"/>
        <v>0.6759999999999999</v>
      </c>
      <c r="AN832" s="10">
        <f t="shared" si="130"/>
        <v>1.6370000000000002</v>
      </c>
      <c r="AO832" s="10">
        <f t="shared" si="130"/>
        <v>2.8040000000000003</v>
      </c>
      <c r="AP832" s="10">
        <f t="shared" si="130"/>
        <v>4.368</v>
      </c>
      <c r="AQ832" s="10">
        <f t="shared" si="130"/>
        <v>2.324</v>
      </c>
      <c r="AR832" s="10">
        <f t="shared" si="130"/>
        <v>0.126</v>
      </c>
      <c r="AS832" s="10">
        <f t="shared" si="130"/>
        <v>18.24</v>
      </c>
      <c r="AT832" s="10">
        <f t="shared" si="130"/>
        <v>0</v>
      </c>
      <c r="AU832" s="10">
        <f t="shared" si="130"/>
        <v>19.241</v>
      </c>
      <c r="AV832" s="10">
        <f t="shared" si="130"/>
        <v>68.772</v>
      </c>
    </row>
    <row r="833" spans="3:48" ht="12.75" hidden="1">
      <c r="C833" s="110" t="s">
        <v>702</v>
      </c>
      <c r="D833" s="10" t="e">
        <f>#REF!</f>
        <v>#REF!</v>
      </c>
      <c r="E833" s="287"/>
      <c r="F833" s="287"/>
      <c r="G833" s="10"/>
      <c r="H833" s="6"/>
      <c r="W833" s="10"/>
      <c r="X833" s="10"/>
      <c r="Y833" s="10"/>
      <c r="Z833" s="10"/>
      <c r="AA833" s="10" t="e">
        <f>D833</f>
        <v>#REF!</v>
      </c>
      <c r="AB833" s="10"/>
      <c r="AC833" s="10"/>
      <c r="AD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</row>
    <row r="834" spans="3:48" ht="12.75" hidden="1">
      <c r="C834" s="110" t="s">
        <v>703</v>
      </c>
      <c r="D834" s="10" t="e">
        <f>SUM(D832:D833)</f>
        <v>#REF!</v>
      </c>
      <c r="E834" s="287"/>
      <c r="F834" s="287"/>
      <c r="G834" s="10"/>
      <c r="H834" s="6"/>
      <c r="W834" s="10">
        <f>SUM(W832:W833)</f>
        <v>10.581</v>
      </c>
      <c r="X834" s="10">
        <f aca="true" t="shared" si="131" ref="X834:AC834">SUM(X832:X833)</f>
        <v>1.827</v>
      </c>
      <c r="Y834" s="10">
        <f t="shared" si="131"/>
        <v>12.482</v>
      </c>
      <c r="Z834" s="10">
        <f t="shared" si="131"/>
        <v>1.2970000000000002</v>
      </c>
      <c r="AA834" s="10" t="e">
        <f t="shared" si="131"/>
        <v>#REF!</v>
      </c>
      <c r="AB834" s="10">
        <f t="shared" si="131"/>
        <v>68.772</v>
      </c>
      <c r="AC834" s="10">
        <f t="shared" si="131"/>
        <v>1.456</v>
      </c>
      <c r="AD834" s="10" t="e">
        <f>SUM(W834:AC834)</f>
        <v>#REF!</v>
      </c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</row>
    <row r="835" spans="3:48" ht="12.75" hidden="1">
      <c r="C835" s="110" t="s">
        <v>857</v>
      </c>
      <c r="D835" s="10">
        <f>D810</f>
        <v>118.06899999999997</v>
      </c>
      <c r="E835" s="287"/>
      <c r="F835" s="287"/>
      <c r="G835" s="10"/>
      <c r="H835" s="6"/>
      <c r="W835" s="10"/>
      <c r="X835" s="10"/>
      <c r="Y835" s="10"/>
      <c r="Z835" s="10"/>
      <c r="AA835" s="10"/>
      <c r="AB835" s="10"/>
      <c r="AC835" s="10"/>
      <c r="AD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</row>
    <row r="836" spans="3:48" ht="12.75" hidden="1">
      <c r="C836" s="110" t="s">
        <v>704</v>
      </c>
      <c r="D836" s="10" t="e">
        <f>D834-D835</f>
        <v>#REF!</v>
      </c>
      <c r="F836" s="287"/>
      <c r="G836" s="10"/>
      <c r="H836" s="6"/>
      <c r="W836" s="10"/>
      <c r="X836" s="10"/>
      <c r="Y836" s="10"/>
      <c r="Z836" s="10"/>
      <c r="AA836" s="10"/>
      <c r="AB836" s="10"/>
      <c r="AC836" s="10"/>
      <c r="AD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</row>
    <row r="837" spans="3:48" ht="12.75" hidden="1">
      <c r="C837" s="110"/>
      <c r="D837" s="10"/>
      <c r="E837" s="287"/>
      <c r="F837" s="287"/>
      <c r="G837" s="10"/>
      <c r="H837" s="6"/>
      <c r="W837" s="10"/>
      <c r="X837" s="10"/>
      <c r="Y837" s="10"/>
      <c r="Z837" s="10"/>
      <c r="AA837" s="10"/>
      <c r="AB837" s="10"/>
      <c r="AC837" s="10"/>
      <c r="AD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</row>
    <row r="838" spans="4:21" ht="12.75" hidden="1">
      <c r="D838" s="12"/>
      <c r="E838" s="143"/>
      <c r="F838" s="143"/>
      <c r="G838" s="15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ht="12.75" hidden="1"/>
    <row r="840" ht="12.75" hidden="1"/>
    <row r="841" ht="13.5" hidden="1" thickBot="1">
      <c r="C841" s="6" t="s">
        <v>958</v>
      </c>
    </row>
    <row r="842" spans="3:14" ht="12.75" hidden="1">
      <c r="C842" s="219"/>
      <c r="D842" s="18"/>
      <c r="E842" s="292"/>
      <c r="F842" s="292"/>
      <c r="G842" s="18"/>
      <c r="H842" s="220"/>
      <c r="I842" s="18"/>
      <c r="J842" s="18"/>
      <c r="K842" s="18"/>
      <c r="L842" s="18"/>
      <c r="M842" s="18"/>
      <c r="N842" s="221"/>
    </row>
    <row r="843" spans="3:14" ht="12.75" hidden="1">
      <c r="C843" s="222"/>
      <c r="D843" s="253"/>
      <c r="E843" s="293"/>
      <c r="F843" s="293"/>
      <c r="G843" s="337"/>
      <c r="H843" s="223"/>
      <c r="I843" s="203"/>
      <c r="J843" s="224" t="s">
        <v>940</v>
      </c>
      <c r="K843" s="224" t="s">
        <v>941</v>
      </c>
      <c r="L843" s="225" t="s">
        <v>942</v>
      </c>
      <c r="M843" s="224" t="s">
        <v>943</v>
      </c>
      <c r="N843" s="86"/>
    </row>
    <row r="844" spans="3:14" ht="12.75" hidden="1">
      <c r="C844" s="226" t="s">
        <v>837</v>
      </c>
      <c r="D844" s="253"/>
      <c r="E844" s="293"/>
      <c r="F844" s="293"/>
      <c r="G844" s="338"/>
      <c r="H844" s="227"/>
      <c r="I844" s="203"/>
      <c r="J844" s="215"/>
      <c r="K844" s="215"/>
      <c r="L844" s="215"/>
      <c r="M844" s="215"/>
      <c r="N844" s="86"/>
    </row>
    <row r="845" spans="3:14" ht="12.75" hidden="1">
      <c r="C845" s="226" t="s">
        <v>827</v>
      </c>
      <c r="D845" s="254"/>
      <c r="E845" s="294"/>
      <c r="F845" s="295"/>
      <c r="G845" s="338"/>
      <c r="H845" s="215"/>
      <c r="I845" s="204"/>
      <c r="J845" s="228"/>
      <c r="K845" s="228"/>
      <c r="L845" s="215"/>
      <c r="M845" s="215"/>
      <c r="N845" s="86"/>
    </row>
    <row r="846" spans="3:14" ht="12.75" hidden="1">
      <c r="C846" s="226" t="s">
        <v>906</v>
      </c>
      <c r="D846" s="254"/>
      <c r="E846" s="295"/>
      <c r="F846" s="295"/>
      <c r="G846" s="338"/>
      <c r="H846" s="215"/>
      <c r="I846" s="204"/>
      <c r="J846" s="228"/>
      <c r="K846" s="228"/>
      <c r="L846" s="215">
        <v>19785</v>
      </c>
      <c r="M846" s="228"/>
      <c r="N846" s="86"/>
    </row>
    <row r="847" spans="3:14" ht="12.75" hidden="1">
      <c r="C847" s="222" t="s">
        <v>793</v>
      </c>
      <c r="D847" s="253"/>
      <c r="E847" s="293"/>
      <c r="F847" s="293"/>
      <c r="G847" s="338"/>
      <c r="H847" s="223"/>
      <c r="I847" s="203"/>
      <c r="J847" s="215"/>
      <c r="K847" s="215"/>
      <c r="L847" s="215"/>
      <c r="M847" s="215"/>
      <c r="N847" s="86"/>
    </row>
    <row r="848" spans="3:14" ht="12.75" hidden="1">
      <c r="C848" s="222" t="s">
        <v>944</v>
      </c>
      <c r="D848" s="253"/>
      <c r="E848" s="294"/>
      <c r="F848" s="293"/>
      <c r="G848" s="338"/>
      <c r="H848" s="223"/>
      <c r="I848" s="203"/>
      <c r="J848" s="215"/>
      <c r="K848" s="205"/>
      <c r="L848" s="206"/>
      <c r="M848" s="207">
        <v>175989</v>
      </c>
      <c r="N848" s="86"/>
    </row>
    <row r="849" spans="3:14" ht="12.75" hidden="1">
      <c r="C849" s="222" t="s">
        <v>945</v>
      </c>
      <c r="D849" s="253"/>
      <c r="E849" s="294"/>
      <c r="F849" s="293"/>
      <c r="G849" s="338"/>
      <c r="H849" s="223"/>
      <c r="I849" s="203"/>
      <c r="J849" s="215"/>
      <c r="K849" s="208"/>
      <c r="L849" s="209"/>
      <c r="M849" s="210">
        <v>261581</v>
      </c>
      <c r="N849" s="86"/>
    </row>
    <row r="850" spans="3:14" ht="12.75" hidden="1">
      <c r="C850" s="222" t="s">
        <v>946</v>
      </c>
      <c r="D850" s="253"/>
      <c r="E850" s="294"/>
      <c r="F850" s="293"/>
      <c r="G850" s="338"/>
      <c r="H850" s="223"/>
      <c r="I850" s="203"/>
      <c r="J850" s="215"/>
      <c r="K850" s="211"/>
      <c r="L850" s="209"/>
      <c r="M850" s="212"/>
      <c r="N850" s="86"/>
    </row>
    <row r="851" spans="3:14" ht="12.75" hidden="1">
      <c r="C851" s="222" t="s">
        <v>947</v>
      </c>
      <c r="D851" s="253"/>
      <c r="E851" s="294"/>
      <c r="F851" s="293"/>
      <c r="G851" s="338"/>
      <c r="H851" s="223"/>
      <c r="I851" s="203"/>
      <c r="J851" s="215"/>
      <c r="K851" s="213"/>
      <c r="L851" s="209"/>
      <c r="M851" s="212"/>
      <c r="N851" s="86"/>
    </row>
    <row r="852" spans="3:14" ht="12.75" hidden="1">
      <c r="C852" s="222" t="s">
        <v>948</v>
      </c>
      <c r="D852" s="253"/>
      <c r="E852" s="293"/>
      <c r="F852" s="293"/>
      <c r="G852" s="338" t="s">
        <v>949</v>
      </c>
      <c r="H852" s="223"/>
      <c r="I852" s="203"/>
      <c r="J852" s="215"/>
      <c r="K852" s="211"/>
      <c r="L852" s="209"/>
      <c r="M852" s="212"/>
      <c r="N852" s="86"/>
    </row>
    <row r="853" spans="3:14" ht="12.75" hidden="1">
      <c r="C853" s="222" t="s">
        <v>950</v>
      </c>
      <c r="D853" s="253"/>
      <c r="E853" s="293"/>
      <c r="F853" s="293"/>
      <c r="G853" s="338" t="s">
        <v>951</v>
      </c>
      <c r="H853" s="223"/>
      <c r="I853" s="203"/>
      <c r="J853" s="215"/>
      <c r="K853" s="211"/>
      <c r="L853" s="209"/>
      <c r="M853" s="212"/>
      <c r="N853" s="86"/>
    </row>
    <row r="854" spans="3:14" ht="12.75" hidden="1">
      <c r="C854" s="222" t="s">
        <v>952</v>
      </c>
      <c r="D854" s="253"/>
      <c r="E854" s="293"/>
      <c r="F854" s="293"/>
      <c r="G854" s="338"/>
      <c r="H854" s="223"/>
      <c r="I854" s="203"/>
      <c r="J854" s="215"/>
      <c r="K854" s="211"/>
      <c r="L854" s="209"/>
      <c r="M854" s="212"/>
      <c r="N854" s="86"/>
    </row>
    <row r="855" spans="3:14" ht="12.75" hidden="1">
      <c r="C855" s="222" t="s">
        <v>953</v>
      </c>
      <c r="D855" s="253"/>
      <c r="E855" s="293"/>
      <c r="F855" s="293"/>
      <c r="G855" s="338"/>
      <c r="H855" s="223"/>
      <c r="I855" s="203"/>
      <c r="J855" s="215"/>
      <c r="K855" s="211"/>
      <c r="L855" s="209"/>
      <c r="M855" s="212"/>
      <c r="N855" s="86"/>
    </row>
    <row r="856" spans="3:14" ht="12.75" hidden="1">
      <c r="C856" s="222" t="s">
        <v>954</v>
      </c>
      <c r="D856" s="253"/>
      <c r="E856" s="293"/>
      <c r="F856" s="293"/>
      <c r="G856" s="338"/>
      <c r="H856" s="223"/>
      <c r="I856" s="203"/>
      <c r="J856" s="215"/>
      <c r="K856" s="211"/>
      <c r="L856" s="209"/>
      <c r="M856" s="212">
        <v>146000</v>
      </c>
      <c r="N856" s="86"/>
    </row>
    <row r="857" spans="3:14" ht="12.75" hidden="1">
      <c r="C857" s="222" t="s">
        <v>955</v>
      </c>
      <c r="D857" s="253"/>
      <c r="E857" s="293"/>
      <c r="F857" s="293"/>
      <c r="G857" s="338"/>
      <c r="H857" s="223"/>
      <c r="I857" s="203"/>
      <c r="J857" s="211">
        <v>126071.52</v>
      </c>
      <c r="K857" s="215"/>
      <c r="L857" s="209"/>
      <c r="M857" s="212"/>
      <c r="N857" s="86"/>
    </row>
    <row r="858" spans="3:14" ht="12.75" hidden="1">
      <c r="C858" s="222" t="s">
        <v>956</v>
      </c>
      <c r="D858" s="253"/>
      <c r="E858" s="293"/>
      <c r="F858" s="293"/>
      <c r="G858" s="338"/>
      <c r="H858" s="223"/>
      <c r="I858" s="203"/>
      <c r="J858" s="214">
        <v>1500</v>
      </c>
      <c r="K858" s="215"/>
      <c r="L858" s="215"/>
      <c r="M858" s="203"/>
      <c r="N858" s="86"/>
    </row>
    <row r="859" spans="3:14" ht="12.75" hidden="1">
      <c r="C859" s="222" t="s">
        <v>957</v>
      </c>
      <c r="D859" s="253"/>
      <c r="E859" s="293"/>
      <c r="F859" s="293"/>
      <c r="G859" s="338"/>
      <c r="H859" s="223"/>
      <c r="I859" s="203"/>
      <c r="J859" s="216">
        <v>8000</v>
      </c>
      <c r="K859" s="215"/>
      <c r="L859" s="217"/>
      <c r="M859" s="218"/>
      <c r="N859" s="86"/>
    </row>
    <row r="860" spans="3:14" ht="12.75" hidden="1">
      <c r="C860" s="45"/>
      <c r="N860" s="86"/>
    </row>
    <row r="861" spans="3:14" ht="12.75" hidden="1">
      <c r="C861" s="45"/>
      <c r="N861" s="86"/>
    </row>
    <row r="862" spans="3:14" ht="13.5" hidden="1" thickBot="1">
      <c r="C862" s="229"/>
      <c r="D862" s="114"/>
      <c r="E862" s="296"/>
      <c r="F862" s="296"/>
      <c r="G862" s="114"/>
      <c r="H862" s="230"/>
      <c r="I862" s="114"/>
      <c r="J862" s="114"/>
      <c r="K862" s="114"/>
      <c r="L862" s="114"/>
      <c r="M862" s="114"/>
      <c r="N862" s="231"/>
    </row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>
      <c r="AD869" s="27">
        <v>-5.934</v>
      </c>
    </row>
    <row r="870" ht="12.75" hidden="1">
      <c r="AD870" s="27">
        <f>SUM(AD869:AD869)</f>
        <v>-5.934</v>
      </c>
    </row>
    <row r="871" ht="12.75" hidden="1"/>
    <row r="872" ht="12.75" hidden="1"/>
    <row r="873" ht="12.75" hidden="1"/>
    <row r="874" ht="12.75" hidden="1"/>
    <row r="875" ht="12.75" hidden="1"/>
    <row r="876" ht="12.75" hidden="1"/>
    <row r="877" ht="12.75"/>
    <row r="878" ht="12.75"/>
    <row r="879" ht="12.75"/>
    <row r="880" ht="12.75"/>
    <row r="881" ht="12.75"/>
    <row r="882" ht="12.75">
      <c r="H882" s="6"/>
    </row>
    <row r="883" ht="12.75">
      <c r="H883" s="6"/>
    </row>
    <row r="884" ht="12.75">
      <c r="H884" s="6"/>
    </row>
    <row r="885" ht="12.75">
      <c r="H885" s="6"/>
    </row>
    <row r="886" ht="12.75">
      <c r="H886" s="6"/>
    </row>
    <row r="887" ht="12.75">
      <c r="H887" s="6"/>
    </row>
    <row r="888" ht="12.75">
      <c r="H888" s="6"/>
    </row>
    <row r="889" ht="12.75">
      <c r="H889" s="6"/>
    </row>
    <row r="890" ht="12.75">
      <c r="H890" s="6"/>
    </row>
    <row r="891" spans="8:22" ht="12.75"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46"/>
    </row>
    <row r="892" spans="8:22" ht="12.75"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46"/>
    </row>
    <row r="893" spans="8:22" ht="12.75"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46"/>
    </row>
    <row r="894" spans="8:22" ht="12.75"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46"/>
    </row>
    <row r="895" spans="8:22" ht="12.75"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46"/>
    </row>
    <row r="896" ht="12.75">
      <c r="H896" s="6"/>
    </row>
    <row r="897" ht="12.75">
      <c r="H897" s="6"/>
    </row>
    <row r="898" ht="12.75">
      <c r="H898" s="6"/>
    </row>
    <row r="899" ht="12.75">
      <c r="H899" s="6"/>
    </row>
    <row r="900" ht="12.75">
      <c r="H900" s="6"/>
    </row>
    <row r="901" ht="12.75">
      <c r="H901" s="6"/>
    </row>
    <row r="902" ht="12.75">
      <c r="H902" s="6"/>
    </row>
    <row r="903" ht="12.75">
      <c r="H903" s="6"/>
    </row>
    <row r="904" ht="12.75">
      <c r="H904" s="6"/>
    </row>
    <row r="905" ht="12.75">
      <c r="H905" s="6"/>
    </row>
    <row r="906" ht="12.75">
      <c r="H906" s="6"/>
    </row>
    <row r="907" ht="12.75">
      <c r="H907" s="6"/>
    </row>
    <row r="908" ht="12.75">
      <c r="H908" s="6"/>
    </row>
    <row r="909" ht="12.75">
      <c r="H909" s="6"/>
    </row>
    <row r="910" ht="12.75">
      <c r="H910" s="6"/>
    </row>
    <row r="911" ht="12.75">
      <c r="H911" s="6"/>
    </row>
    <row r="912" ht="12.75">
      <c r="H912" s="6"/>
    </row>
    <row r="913" ht="12.75">
      <c r="H913" s="6"/>
    </row>
    <row r="914" ht="12.75">
      <c r="H914" s="6"/>
    </row>
    <row r="915" ht="12.75">
      <c r="H915" s="6"/>
    </row>
    <row r="916" ht="12.75">
      <c r="H916" s="6"/>
    </row>
    <row r="917" ht="12.75">
      <c r="H917" s="6"/>
    </row>
    <row r="918" ht="12.75">
      <c r="H918" s="6"/>
    </row>
    <row r="919" ht="12.75">
      <c r="H919" s="6"/>
    </row>
    <row r="920" ht="12.75">
      <c r="H920" s="6"/>
    </row>
    <row r="921" ht="12.75">
      <c r="H921" s="6"/>
    </row>
    <row r="922" ht="12.75">
      <c r="H922" s="6"/>
    </row>
    <row r="923" ht="12.75">
      <c r="H923" s="6"/>
    </row>
    <row r="924" ht="12.75">
      <c r="H924" s="6"/>
    </row>
    <row r="925" ht="12.75">
      <c r="H925" s="6"/>
    </row>
    <row r="926" ht="12.75">
      <c r="H926" s="6"/>
    </row>
    <row r="927" ht="12.75">
      <c r="H927" s="6"/>
    </row>
    <row r="928" ht="12.75">
      <c r="H928" s="6"/>
    </row>
    <row r="929" ht="12.75">
      <c r="H929" s="6"/>
    </row>
    <row r="930" ht="12.75">
      <c r="H930" s="6"/>
    </row>
    <row r="931" ht="12.75">
      <c r="H931" s="6"/>
    </row>
    <row r="932" ht="12.75">
      <c r="H932" s="6"/>
    </row>
    <row r="933" ht="12.75">
      <c r="H933" s="6"/>
    </row>
    <row r="934" ht="12.75">
      <c r="H934" s="6"/>
    </row>
    <row r="935" ht="12.75">
      <c r="H935" s="6"/>
    </row>
    <row r="936" ht="12.75">
      <c r="H936" s="6"/>
    </row>
    <row r="937" ht="12.75">
      <c r="H937" s="6"/>
    </row>
    <row r="938" ht="12.75">
      <c r="H938" s="6"/>
    </row>
    <row r="939" ht="12.75">
      <c r="H939" s="6"/>
    </row>
    <row r="940" ht="12.75">
      <c r="H940" s="6"/>
    </row>
    <row r="941" ht="12.75">
      <c r="H941" s="6"/>
    </row>
    <row r="942" ht="12.75">
      <c r="H942" s="6"/>
    </row>
    <row r="943" ht="12.75">
      <c r="H943" s="6"/>
    </row>
    <row r="944" ht="12.75">
      <c r="H944" s="6"/>
    </row>
    <row r="945" ht="12.75">
      <c r="H945" s="6"/>
    </row>
    <row r="946" ht="12.75">
      <c r="H946" s="6"/>
    </row>
    <row r="947" ht="12.75">
      <c r="H947" s="6"/>
    </row>
    <row r="948" ht="12.75">
      <c r="H948" s="6"/>
    </row>
    <row r="949" ht="12.75">
      <c r="H949" s="6"/>
    </row>
    <row r="950" ht="12.75">
      <c r="H950" s="6"/>
    </row>
    <row r="951" ht="12.75">
      <c r="H951" s="6"/>
    </row>
    <row r="952" ht="12.75">
      <c r="H952" s="6"/>
    </row>
    <row r="953" ht="12.75">
      <c r="H953" s="6"/>
    </row>
    <row r="954" ht="12.75">
      <c r="H954" s="6"/>
    </row>
    <row r="955" ht="12.75">
      <c r="H955" s="6"/>
    </row>
    <row r="956" ht="12.75">
      <c r="H956" s="6"/>
    </row>
    <row r="957" ht="12.75">
      <c r="H957" s="6"/>
    </row>
    <row r="958" ht="12.75">
      <c r="H958" s="6"/>
    </row>
    <row r="959" ht="12.75">
      <c r="H959" s="6"/>
    </row>
    <row r="960" ht="12.75">
      <c r="H960" s="6"/>
    </row>
    <row r="961" ht="12.75">
      <c r="H961" s="6"/>
    </row>
    <row r="962" ht="12.75">
      <c r="H962" s="6"/>
    </row>
    <row r="963" ht="12.75">
      <c r="H963" s="6"/>
    </row>
    <row r="964" ht="12.75">
      <c r="H964" s="6"/>
    </row>
    <row r="965" ht="12.75">
      <c r="H965" s="6"/>
    </row>
    <row r="966" ht="12.75">
      <c r="H966" s="6"/>
    </row>
    <row r="967" ht="12.75">
      <c r="H967" s="6"/>
    </row>
    <row r="968" ht="12.75">
      <c r="H968" s="6"/>
    </row>
    <row r="969" ht="12.75">
      <c r="H969" s="6"/>
    </row>
    <row r="970" ht="12.75">
      <c r="H970" s="6"/>
    </row>
    <row r="971" ht="12.75">
      <c r="H971" s="6"/>
    </row>
    <row r="972" ht="12.75">
      <c r="H972" s="6"/>
    </row>
    <row r="973" ht="12.75">
      <c r="H973" s="6"/>
    </row>
    <row r="974" ht="12.75">
      <c r="H974" s="6"/>
    </row>
    <row r="975" ht="12.75">
      <c r="H975" s="6"/>
    </row>
    <row r="976" ht="12.75">
      <c r="H976" s="6"/>
    </row>
    <row r="977" ht="12.75">
      <c r="H977" s="6"/>
    </row>
    <row r="978" ht="12.75">
      <c r="H978" s="6"/>
    </row>
    <row r="979" ht="12.75">
      <c r="H979" s="6"/>
    </row>
    <row r="980" ht="12.75">
      <c r="H980" s="6"/>
    </row>
    <row r="981" ht="12.75">
      <c r="H981" s="6"/>
    </row>
    <row r="982" ht="12.75">
      <c r="H982" s="6"/>
    </row>
    <row r="983" ht="12.75">
      <c r="H983" s="6"/>
    </row>
    <row r="984" ht="12.75">
      <c r="H984" s="6"/>
    </row>
    <row r="985" ht="12.75">
      <c r="H985" s="6"/>
    </row>
    <row r="986" ht="12.75">
      <c r="H986" s="6"/>
    </row>
    <row r="987" ht="12.75">
      <c r="H987" s="6"/>
    </row>
    <row r="988" ht="12.75">
      <c r="H988" s="6"/>
    </row>
    <row r="989" ht="12.75">
      <c r="H989" s="6"/>
    </row>
    <row r="990" ht="12.75">
      <c r="H990" s="6"/>
    </row>
    <row r="991" ht="12.75">
      <c r="H991" s="6"/>
    </row>
    <row r="992" ht="12.75">
      <c r="H992" s="6"/>
    </row>
    <row r="993" ht="12.75">
      <c r="H993" s="6"/>
    </row>
    <row r="994" ht="12.75">
      <c r="H994" s="6"/>
    </row>
    <row r="995" ht="12.75">
      <c r="H995" s="6"/>
    </row>
    <row r="996" ht="12.75">
      <c r="H996" s="6"/>
    </row>
    <row r="997" ht="12.75">
      <c r="H997" s="6"/>
    </row>
    <row r="998" ht="12.75">
      <c r="H998" s="6"/>
    </row>
    <row r="999" ht="12.75">
      <c r="H999" s="6"/>
    </row>
    <row r="1000" ht="12.75">
      <c r="H1000" s="6"/>
    </row>
    <row r="1001" ht="12.75">
      <c r="H1001" s="6"/>
    </row>
    <row r="1002" ht="12.75">
      <c r="H1002" s="6"/>
    </row>
    <row r="1003" ht="12.75">
      <c r="H1003" s="6"/>
    </row>
    <row r="1004" ht="12.75">
      <c r="H1004" s="6"/>
    </row>
    <row r="1308" ht="12.75"/>
    <row r="1309" ht="12.75"/>
    <row r="1310" ht="12.75"/>
  </sheetData>
  <mergeCells count="2">
    <mergeCell ref="E2:F2"/>
    <mergeCell ref="H2:S2"/>
  </mergeCells>
  <printOptions/>
  <pageMargins left="0.4330708661417323" right="0" top="0.5905511811023623" bottom="0" header="0.11811023622047245" footer="0"/>
  <pageSetup horizontalDpi="300" verticalDpi="300" orientation="landscape" paperSize="9" scale="65" r:id="rId3"/>
  <headerFooter alignWithMargins="0">
    <oddHeader>&amp;C&amp;"Arial,Bold"&amp;U2005/06 CAPITAL PROGRAMME&amp;R&amp;"Arial,Bold"&amp;UAppendix 1</oddHeader>
  </headerFooter>
  <rowBreaks count="6" manualBreakCount="6">
    <brk id="376" max="255" man="1"/>
    <brk id="541" max="255" man="1"/>
    <brk id="576" max="255" man="1"/>
    <brk id="604" max="255" man="1"/>
    <brk id="637" max="255" man="1"/>
    <brk id="70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95"/>
  <sheetViews>
    <sheetView showGridLines="0" workbookViewId="0" topLeftCell="A22">
      <selection activeCell="C43" sqref="C43"/>
    </sheetView>
  </sheetViews>
  <sheetFormatPr defaultColWidth="9.140625" defaultRowHeight="12.75"/>
  <cols>
    <col min="1" max="1" width="5.7109375" style="49" customWidth="1"/>
    <col min="2" max="2" width="40.7109375" style="49" customWidth="1"/>
    <col min="3" max="3" width="9.7109375" style="49" customWidth="1"/>
    <col min="4" max="4" width="3.140625" style="49" customWidth="1"/>
    <col min="5" max="5" width="7.140625" style="50" customWidth="1"/>
    <col min="6" max="6" width="9.28125" style="49" customWidth="1"/>
    <col min="7" max="7" width="11.421875" style="49" customWidth="1"/>
    <col min="8" max="8" width="24.7109375" style="49" bestFit="1" customWidth="1"/>
    <col min="9" max="9" width="6.8515625" style="49" customWidth="1"/>
    <col min="10" max="21" width="5.7109375" style="49" customWidth="1"/>
    <col min="22" max="16384" width="9.140625" style="21" customWidth="1"/>
  </cols>
  <sheetData>
    <row r="1" ht="12.75"/>
    <row r="2" spans="2:7" ht="12.75">
      <c r="B2" s="2"/>
      <c r="G2" s="51"/>
    </row>
    <row r="3" ht="7.5" customHeight="1"/>
    <row r="4" spans="2:4" ht="12.75">
      <c r="B4" s="1" t="s">
        <v>711</v>
      </c>
      <c r="D4" s="52"/>
    </row>
    <row r="5" spans="3:4" ht="6.75" customHeight="1">
      <c r="C5" s="52"/>
      <c r="D5" s="52"/>
    </row>
    <row r="6" ht="10.5" customHeight="1"/>
    <row r="7" spans="2:8" ht="12.75">
      <c r="B7" s="53"/>
      <c r="C7" s="1" t="s">
        <v>779</v>
      </c>
      <c r="D7" s="1"/>
      <c r="F7" s="1" t="s">
        <v>780</v>
      </c>
      <c r="G7" s="54"/>
      <c r="H7" s="1"/>
    </row>
    <row r="8" spans="2:8" ht="12.75">
      <c r="B8" s="2"/>
      <c r="C8" s="1" t="s">
        <v>781</v>
      </c>
      <c r="D8" s="1"/>
      <c r="E8" s="1" t="s">
        <v>796</v>
      </c>
      <c r="F8" s="1" t="s">
        <v>782</v>
      </c>
      <c r="G8" s="2"/>
      <c r="H8" s="2"/>
    </row>
    <row r="9" spans="2:8" ht="12.75">
      <c r="B9" s="2"/>
      <c r="C9" s="1" t="s">
        <v>783</v>
      </c>
      <c r="D9" s="1"/>
      <c r="E9" s="1" t="s">
        <v>795</v>
      </c>
      <c r="F9" s="1" t="s">
        <v>784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55" t="s">
        <v>785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786</v>
      </c>
      <c r="C13" s="56">
        <v>9285</v>
      </c>
      <c r="D13" s="56"/>
      <c r="E13" s="50">
        <v>25</v>
      </c>
      <c r="F13" s="57">
        <f>C13*E13/100</f>
        <v>2321.25</v>
      </c>
      <c r="G13" s="2"/>
      <c r="H13" s="2"/>
    </row>
    <row r="14" spans="2:8" ht="12.75">
      <c r="B14" s="2"/>
      <c r="C14" s="56"/>
      <c r="D14" s="56"/>
      <c r="F14" s="57"/>
      <c r="G14" s="2"/>
      <c r="H14" s="2"/>
    </row>
    <row r="15" spans="2:8" ht="12.75">
      <c r="B15" s="2" t="s">
        <v>798</v>
      </c>
      <c r="C15" s="56"/>
      <c r="D15" s="56"/>
      <c r="F15" s="57"/>
      <c r="G15" s="2"/>
      <c r="H15" s="2"/>
    </row>
    <row r="16" spans="2:8" ht="12.75">
      <c r="B16" s="49" t="s">
        <v>885</v>
      </c>
      <c r="C16" s="49">
        <v>60</v>
      </c>
      <c r="E16" s="50">
        <v>50</v>
      </c>
      <c r="F16" s="57">
        <f>C16*E16/100</f>
        <v>30</v>
      </c>
      <c r="G16" s="2"/>
      <c r="H16" s="2"/>
    </row>
    <row r="17" spans="6:8" ht="12.75">
      <c r="F17" s="57"/>
      <c r="G17" s="2"/>
      <c r="H17" s="131" t="s">
        <v>684</v>
      </c>
    </row>
    <row r="18" spans="2:8" ht="12.75">
      <c r="B18" s="58" t="s">
        <v>778</v>
      </c>
      <c r="G18" s="2"/>
      <c r="H18" s="2"/>
    </row>
    <row r="19" spans="2:8" ht="12.75">
      <c r="B19" s="59" t="s">
        <v>861</v>
      </c>
      <c r="C19" s="49">
        <v>100</v>
      </c>
      <c r="E19" s="50">
        <v>100</v>
      </c>
      <c r="F19" s="57">
        <f aca="true" t="shared" si="0" ref="F19:F24">C19*E19/100</f>
        <v>100</v>
      </c>
      <c r="G19" s="2"/>
      <c r="H19" s="2"/>
    </row>
    <row r="20" spans="2:8" ht="12.75">
      <c r="B20" s="59" t="s">
        <v>253</v>
      </c>
      <c r="C20" s="49">
        <v>14</v>
      </c>
      <c r="E20" s="50">
        <v>100</v>
      </c>
      <c r="F20" s="57">
        <f t="shared" si="0"/>
        <v>14</v>
      </c>
      <c r="G20" s="2"/>
      <c r="H20" s="2"/>
    </row>
    <row r="21" spans="2:8" ht="12.75">
      <c r="B21" s="59" t="s">
        <v>254</v>
      </c>
      <c r="C21" s="49">
        <v>85</v>
      </c>
      <c r="E21" s="50">
        <v>100</v>
      </c>
      <c r="F21" s="57">
        <f t="shared" si="0"/>
        <v>85</v>
      </c>
      <c r="G21" s="2"/>
      <c r="H21" s="2"/>
    </row>
    <row r="22" spans="2:8" ht="12.75">
      <c r="B22" s="59" t="s">
        <v>255</v>
      </c>
      <c r="C22" s="49">
        <v>206</v>
      </c>
      <c r="E22" s="50">
        <v>100</v>
      </c>
      <c r="F22" s="57">
        <f t="shared" si="0"/>
        <v>206</v>
      </c>
      <c r="G22" s="2"/>
      <c r="H22" s="2"/>
    </row>
    <row r="23" spans="2:8" ht="12.75">
      <c r="B23" s="59" t="s">
        <v>256</v>
      </c>
      <c r="C23" s="49">
        <v>715</v>
      </c>
      <c r="E23" s="50">
        <v>100</v>
      </c>
      <c r="F23" s="57">
        <f t="shared" si="0"/>
        <v>715</v>
      </c>
      <c r="G23" s="2"/>
      <c r="H23" s="2"/>
    </row>
    <row r="24" spans="2:8" ht="12.75">
      <c r="B24" s="59" t="s">
        <v>886</v>
      </c>
      <c r="C24" s="49">
        <v>50</v>
      </c>
      <c r="E24" s="50">
        <v>100</v>
      </c>
      <c r="F24" s="57">
        <f t="shared" si="0"/>
        <v>50</v>
      </c>
      <c r="G24" s="2"/>
      <c r="H24" s="2"/>
    </row>
    <row r="25" spans="7:8" ht="8.25" customHeight="1">
      <c r="G25" s="2"/>
      <c r="H25" s="2"/>
    </row>
    <row r="26" spans="2:8" ht="12.75">
      <c r="B26" s="2" t="s">
        <v>787</v>
      </c>
      <c r="C26" s="60">
        <f>SUM(C13:C24)</f>
        <v>10515</v>
      </c>
      <c r="D26" s="60"/>
      <c r="E26" s="61"/>
      <c r="F26" s="60">
        <f>SUM(F13:F24)</f>
        <v>3521.25</v>
      </c>
      <c r="G26" s="2"/>
      <c r="H26" s="2"/>
    </row>
    <row r="27" spans="2:8" ht="12.75">
      <c r="B27" s="2"/>
      <c r="C27" s="2"/>
      <c r="D27" s="2"/>
      <c r="E27" s="1"/>
      <c r="F27" s="2"/>
      <c r="G27" s="2"/>
      <c r="H27" s="2"/>
    </row>
    <row r="28" ht="12.75">
      <c r="B28" s="55" t="s">
        <v>788</v>
      </c>
    </row>
    <row r="29" ht="12.75">
      <c r="B29" s="55"/>
    </row>
    <row r="30" spans="2:6" ht="12.75">
      <c r="B30" s="2" t="s">
        <v>786</v>
      </c>
      <c r="C30" s="56">
        <f>18000-C13</f>
        <v>8715</v>
      </c>
      <c r="E30" s="50">
        <v>25</v>
      </c>
      <c r="F30" s="57">
        <f>C30*0.25</f>
        <v>2178.75</v>
      </c>
    </row>
    <row r="31" ht="12.75">
      <c r="B31" s="55"/>
    </row>
    <row r="32" spans="2:6" ht="12.75">
      <c r="B32" s="2" t="s">
        <v>818</v>
      </c>
      <c r="C32" s="49">
        <v>244</v>
      </c>
      <c r="E32" s="50">
        <v>50</v>
      </c>
      <c r="F32" s="57">
        <f>C32*0.5</f>
        <v>122</v>
      </c>
    </row>
    <row r="33" ht="12.75">
      <c r="B33" s="55"/>
    </row>
    <row r="34" spans="2:6" ht="12.75">
      <c r="B34" s="58" t="s">
        <v>778</v>
      </c>
      <c r="C34" s="57">
        <f>6197-900</f>
        <v>5297</v>
      </c>
      <c r="D34" s="57"/>
      <c r="E34" s="62">
        <v>100</v>
      </c>
      <c r="F34" s="49">
        <f>C34</f>
        <v>5297</v>
      </c>
    </row>
    <row r="35" spans="3:6" ht="12.75">
      <c r="C35" s="57"/>
      <c r="D35" s="57"/>
      <c r="E35" s="62"/>
      <c r="F35" s="57"/>
    </row>
    <row r="36" spans="2:6" ht="12.75">
      <c r="B36" s="2" t="s">
        <v>789</v>
      </c>
      <c r="C36" s="63">
        <f>SUM(C30:C34)</f>
        <v>14256</v>
      </c>
      <c r="D36" s="63"/>
      <c r="E36" s="64"/>
      <c r="F36" s="63">
        <f>SUM(F30:F34)</f>
        <v>7597.75</v>
      </c>
    </row>
    <row r="37" spans="3:6" ht="10.5" customHeight="1">
      <c r="C37" s="65"/>
      <c r="D37" s="65"/>
      <c r="E37" s="66"/>
      <c r="F37" s="65"/>
    </row>
    <row r="38" spans="2:6" ht="12.75">
      <c r="B38" s="2" t="s">
        <v>790</v>
      </c>
      <c r="C38" s="67">
        <f>C26+C36</f>
        <v>24771</v>
      </c>
      <c r="D38" s="67"/>
      <c r="E38" s="68"/>
      <c r="F38" s="67">
        <f>F26+F36</f>
        <v>11119</v>
      </c>
    </row>
    <row r="39" spans="3:6" ht="12.75">
      <c r="C39" s="57"/>
      <c r="D39" s="57"/>
      <c r="E39" s="62"/>
      <c r="F39" s="57"/>
    </row>
    <row r="40" spans="2:6" ht="12.75">
      <c r="B40" s="2" t="s">
        <v>825</v>
      </c>
      <c r="C40" s="57"/>
      <c r="D40" s="57"/>
      <c r="E40" s="62"/>
      <c r="F40" s="65">
        <v>500</v>
      </c>
    </row>
    <row r="41" spans="3:6" ht="12.75">
      <c r="C41" s="57"/>
      <c r="D41" s="57"/>
      <c r="E41" s="62"/>
      <c r="F41" s="57"/>
    </row>
    <row r="42" spans="2:6" ht="12.75">
      <c r="B42" s="2" t="s">
        <v>894</v>
      </c>
      <c r="C42" s="57"/>
      <c r="D42" s="57"/>
      <c r="E42" s="62"/>
      <c r="F42" s="63">
        <f>F38-F40</f>
        <v>10619</v>
      </c>
    </row>
    <row r="43" spans="3:6" ht="12.75">
      <c r="C43" s="57"/>
      <c r="D43" s="57"/>
      <c r="E43" s="62"/>
      <c r="F43" s="57"/>
    </row>
    <row r="44" spans="2:6" ht="12.75">
      <c r="B44" s="2" t="s">
        <v>759</v>
      </c>
      <c r="C44" s="57"/>
      <c r="D44" s="57"/>
      <c r="E44" s="62"/>
      <c r="F44" s="172">
        <v>14082</v>
      </c>
    </row>
    <row r="45" spans="2:6" ht="12.75">
      <c r="B45" s="2" t="s">
        <v>895</v>
      </c>
      <c r="C45" s="57"/>
      <c r="D45" s="57"/>
      <c r="E45" s="62"/>
      <c r="F45" s="65">
        <f>SUM(F42:F44)</f>
        <v>24701</v>
      </c>
    </row>
    <row r="46" spans="2:6" ht="12.75">
      <c r="B46" s="2"/>
      <c r="C46" s="57"/>
      <c r="D46" s="57"/>
      <c r="E46" s="62"/>
      <c r="F46" s="57"/>
    </row>
    <row r="47" spans="2:6" ht="12.75">
      <c r="B47" s="2" t="s">
        <v>896</v>
      </c>
      <c r="C47" s="57"/>
      <c r="D47" s="57"/>
      <c r="E47" s="62"/>
      <c r="F47" s="65">
        <f>'Appendix 1'!AA810*1000</f>
        <v>14654.000000000004</v>
      </c>
    </row>
    <row r="48" spans="2:6" ht="12.75">
      <c r="B48" s="2"/>
      <c r="C48" s="57"/>
      <c r="D48" s="57"/>
      <c r="E48" s="62"/>
      <c r="F48" s="57"/>
    </row>
    <row r="49" spans="2:7" ht="12.75">
      <c r="B49" s="2" t="s">
        <v>758</v>
      </c>
      <c r="C49" s="80"/>
      <c r="E49" s="62"/>
      <c r="F49" s="171">
        <f>F45-F47</f>
        <v>10046.999999999996</v>
      </c>
      <c r="G49" s="2"/>
    </row>
    <row r="50" spans="3:6" ht="12.75">
      <c r="C50" s="57"/>
      <c r="D50" s="57"/>
      <c r="E50" s="62"/>
      <c r="F50" s="21"/>
    </row>
    <row r="51" spans="3:6" ht="12.75">
      <c r="C51" s="57"/>
      <c r="D51" s="57"/>
      <c r="E51" s="62"/>
      <c r="F51" s="57"/>
    </row>
    <row r="52" spans="3:6" ht="12.75">
      <c r="C52" s="57"/>
      <c r="D52" s="57"/>
      <c r="E52" s="62"/>
      <c r="F52" s="57"/>
    </row>
    <row r="53" spans="3:6" ht="12.75">
      <c r="C53" s="57"/>
      <c r="D53" s="57"/>
      <c r="E53" s="62"/>
      <c r="F53" s="57"/>
    </row>
    <row r="54" spans="3:6" ht="12.75">
      <c r="C54" s="57"/>
      <c r="D54" s="57"/>
      <c r="E54" s="62"/>
      <c r="F54" s="57"/>
    </row>
    <row r="55" spans="3:6" ht="12.75">
      <c r="C55" s="57"/>
      <c r="D55" s="57"/>
      <c r="E55" s="62"/>
      <c r="F55" s="57"/>
    </row>
    <row r="56" spans="3:6" ht="12.75">
      <c r="C56" s="57"/>
      <c r="D56" s="57"/>
      <c r="E56" s="62"/>
      <c r="F56" s="57"/>
    </row>
    <row r="57" spans="3:6" ht="12.75">
      <c r="C57" s="57"/>
      <c r="D57" s="57"/>
      <c r="E57" s="62"/>
      <c r="F57" s="57"/>
    </row>
    <row r="58" spans="3:6" ht="12.75">
      <c r="C58" s="57"/>
      <c r="D58" s="57"/>
      <c r="E58" s="62"/>
      <c r="F58" s="57"/>
    </row>
    <row r="59" spans="3:6" ht="12.75">
      <c r="C59" s="57"/>
      <c r="D59" s="57"/>
      <c r="E59" s="62"/>
      <c r="F59" s="57"/>
    </row>
    <row r="60" spans="3:6" ht="12.75">
      <c r="C60" s="57"/>
      <c r="D60" s="57"/>
      <c r="E60" s="62"/>
      <c r="F60" s="57"/>
    </row>
    <row r="61" spans="3:6" ht="12.75">
      <c r="C61" s="57"/>
      <c r="D61" s="57"/>
      <c r="E61" s="62"/>
      <c r="F61" s="57"/>
    </row>
    <row r="62" spans="3:7" ht="12.75">
      <c r="C62" s="57"/>
      <c r="D62" s="57"/>
      <c r="E62" s="62"/>
      <c r="F62" s="57"/>
      <c r="G62" s="69"/>
    </row>
    <row r="63" spans="2:6" ht="12.75">
      <c r="B63" s="70"/>
      <c r="C63" s="57"/>
      <c r="D63" s="57"/>
      <c r="E63" s="62"/>
      <c r="F63" s="57"/>
    </row>
    <row r="64" spans="2:6" ht="12.75">
      <c r="B64" s="59"/>
      <c r="C64" s="57"/>
      <c r="D64" s="57"/>
      <c r="E64" s="62"/>
      <c r="F64" s="57"/>
    </row>
    <row r="65" spans="3:6" ht="12.75">
      <c r="C65" s="57"/>
      <c r="D65" s="57"/>
      <c r="E65" s="62"/>
      <c r="F65" s="57"/>
    </row>
    <row r="66" spans="2:6" ht="12.75">
      <c r="B66" s="59"/>
      <c r="C66" s="71"/>
      <c r="D66" s="71"/>
      <c r="E66" s="62"/>
      <c r="F66" s="57"/>
    </row>
    <row r="67" spans="2:6" ht="12.75">
      <c r="B67" s="70"/>
      <c r="C67" s="71"/>
      <c r="D67" s="71"/>
      <c r="E67" s="62"/>
      <c r="F67" s="57"/>
    </row>
    <row r="68" spans="2:6" ht="12.75">
      <c r="B68" s="70"/>
      <c r="C68" s="71"/>
      <c r="D68" s="71"/>
      <c r="E68" s="62"/>
      <c r="F68" s="57"/>
    </row>
    <row r="69" spans="2:6" ht="12.75">
      <c r="B69" s="70"/>
      <c r="C69" s="71"/>
      <c r="D69" s="71"/>
      <c r="E69" s="62"/>
      <c r="F69" s="57"/>
    </row>
    <row r="70" spans="2:7" ht="12.75">
      <c r="B70" s="59"/>
      <c r="C70" s="57"/>
      <c r="D70" s="57"/>
      <c r="E70" s="62"/>
      <c r="F70" s="57"/>
      <c r="G70" s="69"/>
    </row>
    <row r="71" spans="2:6" ht="12.75">
      <c r="B71" s="70"/>
      <c r="C71" s="71"/>
      <c r="D71" s="71"/>
      <c r="E71" s="62"/>
      <c r="F71" s="57"/>
    </row>
    <row r="72" spans="2:6" ht="12.75">
      <c r="B72" s="70"/>
      <c r="C72" s="71"/>
      <c r="D72" s="71"/>
      <c r="E72" s="62"/>
      <c r="F72" s="57"/>
    </row>
    <row r="73" spans="2:6" ht="12.75">
      <c r="B73" s="70"/>
      <c r="C73" s="57"/>
      <c r="D73" s="57"/>
      <c r="E73" s="62"/>
      <c r="F73" s="57"/>
    </row>
    <row r="74" spans="2:7" ht="12.75">
      <c r="B74" s="70"/>
      <c r="C74" s="71"/>
      <c r="D74" s="71"/>
      <c r="E74" s="62"/>
      <c r="F74" s="57"/>
      <c r="G74" s="69"/>
    </row>
    <row r="75" spans="2:7" ht="12.75">
      <c r="B75" s="59"/>
      <c r="C75" s="57"/>
      <c r="D75" s="57"/>
      <c r="E75" s="62"/>
      <c r="F75" s="57"/>
      <c r="G75" s="69"/>
    </row>
    <row r="76" spans="2:7" ht="12.75">
      <c r="B76" s="59"/>
      <c r="C76" s="71"/>
      <c r="D76" s="71"/>
      <c r="E76" s="62"/>
      <c r="F76" s="57"/>
      <c r="G76" s="69"/>
    </row>
    <row r="77" spans="2:7" ht="12.75">
      <c r="B77" s="59"/>
      <c r="C77" s="57"/>
      <c r="D77" s="57"/>
      <c r="E77" s="62"/>
      <c r="F77" s="57"/>
      <c r="G77" s="69"/>
    </row>
    <row r="78" spans="2:7" ht="12.75">
      <c r="B78" s="70"/>
      <c r="C78" s="71"/>
      <c r="D78" s="71"/>
      <c r="E78" s="62"/>
      <c r="F78" s="57"/>
      <c r="G78" s="69"/>
    </row>
    <row r="79" spans="2:7" ht="12.75">
      <c r="B79" s="70"/>
      <c r="C79" s="71"/>
      <c r="D79" s="71"/>
      <c r="E79" s="62"/>
      <c r="F79" s="57"/>
      <c r="G79" s="69"/>
    </row>
    <row r="80" spans="2:7" ht="12.75">
      <c r="B80" s="59"/>
      <c r="C80" s="57"/>
      <c r="D80" s="57"/>
      <c r="E80" s="62"/>
      <c r="F80" s="57"/>
      <c r="G80" s="69"/>
    </row>
    <row r="81" spans="2:7" ht="12.75">
      <c r="B81" s="59"/>
      <c r="C81" s="57"/>
      <c r="D81" s="57"/>
      <c r="E81" s="62"/>
      <c r="F81" s="57"/>
      <c r="G81" s="69"/>
    </row>
    <row r="82" spans="2:7" ht="12.75">
      <c r="B82" s="59"/>
      <c r="C82" s="57"/>
      <c r="D82" s="57"/>
      <c r="E82" s="62"/>
      <c r="F82" s="57"/>
      <c r="G82" s="69"/>
    </row>
    <row r="83" spans="2:7" ht="12.75">
      <c r="B83" s="70"/>
      <c r="C83" s="71"/>
      <c r="D83" s="71"/>
      <c r="E83" s="62"/>
      <c r="F83" s="57"/>
      <c r="G83" s="69"/>
    </row>
    <row r="84" spans="2:7" ht="12.75">
      <c r="B84" s="59"/>
      <c r="C84" s="57"/>
      <c r="D84" s="57"/>
      <c r="E84" s="62"/>
      <c r="F84" s="57"/>
      <c r="G84" s="69"/>
    </row>
    <row r="85" spans="2:7" ht="12.75">
      <c r="B85" s="59"/>
      <c r="C85" s="57"/>
      <c r="D85" s="57"/>
      <c r="E85" s="62"/>
      <c r="F85" s="57"/>
      <c r="G85" s="69"/>
    </row>
    <row r="86" spans="2:7" ht="12.75">
      <c r="B86" s="70"/>
      <c r="C86" s="71"/>
      <c r="D86" s="71"/>
      <c r="E86" s="62"/>
      <c r="F86" s="57"/>
      <c r="G86" s="69"/>
    </row>
    <row r="87" spans="2:7" ht="12.75">
      <c r="B87" s="59"/>
      <c r="C87" s="57"/>
      <c r="D87" s="57"/>
      <c r="E87" s="62"/>
      <c r="F87" s="57"/>
      <c r="G87" s="69"/>
    </row>
    <row r="88" spans="2:7" ht="12.75">
      <c r="B88" s="59"/>
      <c r="C88" s="57"/>
      <c r="D88" s="57"/>
      <c r="E88" s="62"/>
      <c r="F88" s="57"/>
      <c r="G88" s="69"/>
    </row>
    <row r="89" spans="2:7" ht="12.75">
      <c r="B89" s="70"/>
      <c r="C89" s="71"/>
      <c r="D89" s="71"/>
      <c r="E89" s="62"/>
      <c r="F89" s="57"/>
      <c r="G89" s="69"/>
    </row>
    <row r="90" spans="2:7" ht="12.75">
      <c r="B90" s="59"/>
      <c r="C90" s="71"/>
      <c r="D90" s="71"/>
      <c r="E90" s="62"/>
      <c r="F90" s="57"/>
      <c r="G90" s="69"/>
    </row>
    <row r="91" spans="2:7" ht="12.75">
      <c r="B91" s="59"/>
      <c r="C91" s="57"/>
      <c r="D91" s="57"/>
      <c r="E91" s="62"/>
      <c r="F91" s="57"/>
      <c r="G91" s="69"/>
    </row>
    <row r="92" spans="2:7" ht="12.75">
      <c r="B92" s="59"/>
      <c r="C92" s="71"/>
      <c r="D92" s="71"/>
      <c r="E92" s="62"/>
      <c r="F92" s="57"/>
      <c r="G92" s="69"/>
    </row>
    <row r="93" spans="2:7" ht="12.75">
      <c r="B93" s="59"/>
      <c r="C93" s="71"/>
      <c r="D93" s="71"/>
      <c r="E93" s="62"/>
      <c r="F93" s="57"/>
      <c r="G93" s="69"/>
    </row>
    <row r="94" spans="2:7" ht="12.75">
      <c r="B94" s="59"/>
      <c r="C94" s="71"/>
      <c r="D94" s="71"/>
      <c r="E94" s="62"/>
      <c r="F94" s="57"/>
      <c r="G94" s="69"/>
    </row>
    <row r="95" spans="2:7" ht="12.75">
      <c r="B95" s="59"/>
      <c r="C95" s="71"/>
      <c r="D95" s="71"/>
      <c r="E95" s="62"/>
      <c r="F95" s="57"/>
      <c r="G95" s="69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5"/>
  <sheetViews>
    <sheetView tabSelected="1" workbookViewId="0" topLeftCell="B1">
      <selection activeCell="E10" sqref="E10"/>
    </sheetView>
  </sheetViews>
  <sheetFormatPr defaultColWidth="9.140625" defaultRowHeight="12.75"/>
  <cols>
    <col min="1" max="1" width="45.00390625" style="100" customWidth="1"/>
    <col min="2" max="2" width="11.00390625" style="100" customWidth="1"/>
    <col min="3" max="5" width="30.7109375" style="100" customWidth="1"/>
    <col min="6" max="16384" width="9.140625" style="100" customWidth="1"/>
  </cols>
  <sheetData>
    <row r="1" ht="12.75">
      <c r="A1" s="99" t="s">
        <v>710</v>
      </c>
    </row>
    <row r="2" ht="12.75">
      <c r="A2" s="99" t="s">
        <v>682</v>
      </c>
    </row>
    <row r="4" ht="12.75">
      <c r="A4" s="21"/>
    </row>
    <row r="5" spans="1:5" ht="25.5">
      <c r="A5" s="344" t="s">
        <v>677</v>
      </c>
      <c r="B5" s="101" t="s">
        <v>678</v>
      </c>
      <c r="C5" s="344" t="s">
        <v>679</v>
      </c>
      <c r="D5" s="344" t="s">
        <v>680</v>
      </c>
      <c r="E5" s="344" t="s">
        <v>681</v>
      </c>
    </row>
    <row r="6" spans="1:5" ht="12.75">
      <c r="A6" s="345"/>
      <c r="B6" s="102" t="s">
        <v>794</v>
      </c>
      <c r="C6" s="345"/>
      <c r="D6" s="345"/>
      <c r="E6" s="345"/>
    </row>
    <row r="7" spans="1:5" ht="12" customHeight="1">
      <c r="A7" s="194" t="s">
        <v>748</v>
      </c>
      <c r="B7" s="180">
        <v>0.25</v>
      </c>
      <c r="C7" s="103"/>
      <c r="D7" s="103"/>
      <c r="E7" s="103" t="s">
        <v>897</v>
      </c>
    </row>
    <row r="8" spans="1:5" ht="12" customHeight="1">
      <c r="A8" s="194" t="s">
        <v>610</v>
      </c>
      <c r="B8" s="180">
        <v>0.1</v>
      </c>
      <c r="C8" s="103"/>
      <c r="D8" s="103"/>
      <c r="E8" s="103" t="s">
        <v>611</v>
      </c>
    </row>
    <row r="9" spans="1:5" ht="12" customHeight="1">
      <c r="A9" s="194" t="s">
        <v>883</v>
      </c>
      <c r="B9" s="180">
        <v>0.3</v>
      </c>
      <c r="C9" s="103"/>
      <c r="D9" s="103"/>
      <c r="E9" s="103" t="s">
        <v>293</v>
      </c>
    </row>
    <row r="10" spans="1:5" ht="12" customHeight="1">
      <c r="A10" s="194" t="s">
        <v>749</v>
      </c>
      <c r="B10" s="180">
        <v>0.35</v>
      </c>
      <c r="C10" s="103"/>
      <c r="D10" s="103"/>
      <c r="E10" s="104" t="s">
        <v>897</v>
      </c>
    </row>
    <row r="11" spans="1:5" ht="12" customHeight="1">
      <c r="A11" s="194" t="s">
        <v>884</v>
      </c>
      <c r="B11" s="180">
        <v>0.75</v>
      </c>
      <c r="C11" s="103"/>
      <c r="D11" s="103"/>
      <c r="E11" s="104" t="s">
        <v>293</v>
      </c>
    </row>
    <row r="12" spans="1:5" ht="12" customHeight="1">
      <c r="A12" s="194" t="s">
        <v>750</v>
      </c>
      <c r="B12" s="180">
        <v>0.75</v>
      </c>
      <c r="C12" s="103"/>
      <c r="D12" s="103"/>
      <c r="E12" s="104" t="s">
        <v>897</v>
      </c>
    </row>
    <row r="13" spans="1:5" ht="12" customHeight="1">
      <c r="A13" s="194" t="s">
        <v>751</v>
      </c>
      <c r="B13" s="180">
        <v>2</v>
      </c>
      <c r="C13" s="103"/>
      <c r="D13" s="103"/>
      <c r="E13" s="104" t="s">
        <v>897</v>
      </c>
    </row>
    <row r="14" spans="1:5" ht="12" customHeight="1">
      <c r="A14" s="194" t="s">
        <v>257</v>
      </c>
      <c r="B14" s="180">
        <v>0.15</v>
      </c>
      <c r="C14" s="103"/>
      <c r="D14" s="103"/>
      <c r="E14" s="103" t="s">
        <v>611</v>
      </c>
    </row>
    <row r="15" spans="1:5" ht="12" customHeight="1">
      <c r="A15" s="194" t="s">
        <v>258</v>
      </c>
      <c r="B15" s="180">
        <v>0.12</v>
      </c>
      <c r="C15" s="103"/>
      <c r="D15" s="103"/>
      <c r="E15" s="103" t="s">
        <v>611</v>
      </c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M29"/>
  <sheetViews>
    <sheetView showGridLines="0" workbookViewId="0" topLeftCell="A1">
      <selection activeCell="K23" sqref="K23"/>
    </sheetView>
  </sheetViews>
  <sheetFormatPr defaultColWidth="9.140625" defaultRowHeight="12.75"/>
  <cols>
    <col min="1" max="1" width="5.7109375" style="49" customWidth="1"/>
    <col min="2" max="2" width="12.8515625" style="49" customWidth="1"/>
    <col min="3" max="5" width="5.7109375" style="49" customWidth="1"/>
    <col min="6" max="6" width="28.28125" style="49" customWidth="1"/>
    <col min="7" max="7" width="8.140625" style="49" customWidth="1"/>
    <col min="8" max="8" width="3.421875" style="49" customWidth="1"/>
    <col min="9" max="9" width="9.7109375" style="49" customWidth="1"/>
    <col min="10" max="10" width="2.8515625" style="49" customWidth="1"/>
    <col min="11" max="11" width="8.140625" style="49" customWidth="1"/>
    <col min="12" max="12" width="2.421875" style="49" customWidth="1"/>
    <col min="13" max="13" width="37.7109375" style="49" customWidth="1"/>
    <col min="14" max="14" width="5.7109375" style="49" customWidth="1"/>
    <col min="15" max="15" width="11.8515625" style="49" customWidth="1"/>
    <col min="16" max="17" width="5.7109375" style="49" customWidth="1"/>
    <col min="18" max="16384" width="9.140625" style="21" customWidth="1"/>
  </cols>
  <sheetData>
    <row r="3" ht="12.75">
      <c r="B3" s="55" t="s">
        <v>708</v>
      </c>
    </row>
    <row r="4" ht="12.75">
      <c r="B4" s="2"/>
    </row>
    <row r="6" spans="2:13" ht="12.75">
      <c r="B6" s="55" t="s">
        <v>799</v>
      </c>
      <c r="G6" s="2"/>
      <c r="I6" s="52" t="s">
        <v>800</v>
      </c>
      <c r="J6" s="2"/>
      <c r="K6" s="2"/>
      <c r="M6" s="52" t="s">
        <v>801</v>
      </c>
    </row>
    <row r="7" spans="2:11" ht="6" customHeight="1">
      <c r="B7" s="55"/>
      <c r="G7" s="2"/>
      <c r="H7" s="1"/>
      <c r="I7" s="2"/>
      <c r="J7" s="2"/>
      <c r="K7" s="2"/>
    </row>
    <row r="8" spans="7:13" ht="12" customHeight="1">
      <c r="G8" s="52" t="s">
        <v>848</v>
      </c>
      <c r="H8" s="55"/>
      <c r="I8" s="52" t="s">
        <v>709</v>
      </c>
      <c r="J8" s="55"/>
      <c r="K8" s="52" t="s">
        <v>797</v>
      </c>
      <c r="M8" s="52" t="s">
        <v>802</v>
      </c>
    </row>
    <row r="9" spans="7:11" ht="12" customHeight="1">
      <c r="G9" s="52"/>
      <c r="H9" s="55"/>
      <c r="I9" s="52" t="s">
        <v>803</v>
      </c>
      <c r="J9" s="55"/>
      <c r="K9" s="52"/>
    </row>
    <row r="10" spans="7:11" ht="12.75">
      <c r="G10" s="1" t="s">
        <v>794</v>
      </c>
      <c r="H10" s="2"/>
      <c r="I10" s="1" t="s">
        <v>794</v>
      </c>
      <c r="J10" s="2"/>
      <c r="K10" s="1" t="s">
        <v>794</v>
      </c>
    </row>
    <row r="11" spans="7:11" ht="12.75">
      <c r="G11" s="50"/>
      <c r="I11" s="50"/>
      <c r="K11" s="50"/>
    </row>
    <row r="12" spans="2:11" ht="12.75">
      <c r="B12" s="55"/>
      <c r="G12" s="72"/>
      <c r="H12" s="51"/>
      <c r="I12" s="73"/>
      <c r="J12" s="51"/>
      <c r="K12" s="73"/>
    </row>
    <row r="13" spans="2:13" ht="12.75">
      <c r="B13" s="12" t="s">
        <v>592</v>
      </c>
      <c r="G13" s="97">
        <v>0.303</v>
      </c>
      <c r="H13" s="97"/>
      <c r="I13" s="97">
        <v>0</v>
      </c>
      <c r="J13" s="97"/>
      <c r="K13" s="97">
        <f>SUM(G13:I13)</f>
        <v>0.303</v>
      </c>
      <c r="M13" s="74" t="s">
        <v>594</v>
      </c>
    </row>
    <row r="14" spans="1:13" ht="12.75">
      <c r="A14" s="59"/>
      <c r="B14" s="49" t="s">
        <v>593</v>
      </c>
      <c r="G14" s="97">
        <v>0.588</v>
      </c>
      <c r="H14" s="97"/>
      <c r="I14" s="97">
        <v>0.017</v>
      </c>
      <c r="J14" s="97"/>
      <c r="K14" s="97">
        <f aca="true" t="shared" si="0" ref="K14:K21">SUM(G14:I14)</f>
        <v>0.605</v>
      </c>
      <c r="M14" s="74" t="s">
        <v>599</v>
      </c>
    </row>
    <row r="15" spans="1:13" ht="12.75">
      <c r="A15" s="59"/>
      <c r="B15" s="12" t="s">
        <v>596</v>
      </c>
      <c r="G15" s="97">
        <v>0.051</v>
      </c>
      <c r="H15" s="97"/>
      <c r="I15" s="97">
        <v>0.002</v>
      </c>
      <c r="J15" s="97"/>
      <c r="K15" s="97">
        <f t="shared" si="0"/>
        <v>0.053</v>
      </c>
      <c r="M15" s="74" t="s">
        <v>595</v>
      </c>
    </row>
    <row r="16" spans="1:13" ht="12.75">
      <c r="A16" s="59"/>
      <c r="B16" s="49" t="s">
        <v>598</v>
      </c>
      <c r="G16" s="97">
        <v>0.07</v>
      </c>
      <c r="H16" s="97"/>
      <c r="I16" s="97">
        <v>0.002</v>
      </c>
      <c r="J16" s="97"/>
      <c r="K16" s="97">
        <f t="shared" si="0"/>
        <v>0.07200000000000001</v>
      </c>
      <c r="M16" s="74" t="s">
        <v>599</v>
      </c>
    </row>
    <row r="17" spans="1:13" ht="12.75">
      <c r="A17" s="59"/>
      <c r="B17" s="12" t="s">
        <v>600</v>
      </c>
      <c r="G17" s="97">
        <v>0.032</v>
      </c>
      <c r="H17" s="97"/>
      <c r="I17" s="97">
        <v>0.002</v>
      </c>
      <c r="J17" s="97"/>
      <c r="K17" s="97">
        <f t="shared" si="0"/>
        <v>0.034</v>
      </c>
      <c r="M17" s="49" t="s">
        <v>599</v>
      </c>
    </row>
    <row r="18" spans="1:13" ht="12.75">
      <c r="A18" s="59"/>
      <c r="B18" s="12" t="s">
        <v>601</v>
      </c>
      <c r="G18" s="97">
        <v>0.456</v>
      </c>
      <c r="H18" s="97"/>
      <c r="I18" s="97">
        <v>0.012</v>
      </c>
      <c r="J18" s="97"/>
      <c r="K18" s="97">
        <f t="shared" si="0"/>
        <v>0.468</v>
      </c>
      <c r="M18" s="74" t="s">
        <v>602</v>
      </c>
    </row>
    <row r="19" spans="1:13" ht="12.75">
      <c r="A19" s="59"/>
      <c r="B19" s="12" t="s">
        <v>603</v>
      </c>
      <c r="G19" s="97">
        <v>0.217</v>
      </c>
      <c r="H19" s="97"/>
      <c r="I19" s="97">
        <v>0</v>
      </c>
      <c r="J19" s="97"/>
      <c r="K19" s="97">
        <f t="shared" si="0"/>
        <v>0.217</v>
      </c>
      <c r="M19" s="74" t="s">
        <v>604</v>
      </c>
    </row>
    <row r="20" spans="1:13" ht="12.75">
      <c r="A20" s="59"/>
      <c r="B20" s="12" t="s">
        <v>605</v>
      </c>
      <c r="G20" s="97">
        <v>0.18</v>
      </c>
      <c r="H20" s="97"/>
      <c r="I20" s="97">
        <v>0.497</v>
      </c>
      <c r="J20" s="97"/>
      <c r="K20" s="97">
        <f t="shared" si="0"/>
        <v>0.677</v>
      </c>
      <c r="M20" s="74" t="s">
        <v>837</v>
      </c>
    </row>
    <row r="21" spans="1:13" ht="12.75">
      <c r="A21" s="59"/>
      <c r="B21" s="12" t="s">
        <v>606</v>
      </c>
      <c r="G21" s="97">
        <v>0.085</v>
      </c>
      <c r="H21" s="97"/>
      <c r="I21" s="97">
        <v>0.424</v>
      </c>
      <c r="J21" s="97"/>
      <c r="K21" s="97">
        <f t="shared" si="0"/>
        <v>0.509</v>
      </c>
      <c r="M21" s="74" t="s">
        <v>607</v>
      </c>
    </row>
    <row r="22" spans="7:13" ht="12.75">
      <c r="G22" s="97"/>
      <c r="H22" s="51"/>
      <c r="I22" s="97"/>
      <c r="J22" s="51"/>
      <c r="K22" s="97"/>
      <c r="M22" s="74"/>
    </row>
    <row r="23" spans="7:11" ht="13.5" thickBot="1">
      <c r="G23" s="148">
        <f>SUM(G12:G22)</f>
        <v>1.982</v>
      </c>
      <c r="H23" s="75"/>
      <c r="I23" s="148">
        <f>SUM(I12:I22)</f>
        <v>0.956</v>
      </c>
      <c r="J23" s="75"/>
      <c r="K23" s="148">
        <f>SUM(K12:K22)</f>
        <v>2.938</v>
      </c>
    </row>
    <row r="24" ht="13.5" thickTop="1"/>
    <row r="26" ht="12.75">
      <c r="C26" s="21"/>
    </row>
    <row r="27" ht="12.75">
      <c r="C27" s="21"/>
    </row>
    <row r="28" ht="12.75">
      <c r="C28" s="167"/>
    </row>
    <row r="29" ht="12.75">
      <c r="C29" s="167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Taylor</cp:lastModifiedBy>
  <cp:lastPrinted>2005-09-26T06:46:58Z</cp:lastPrinted>
  <dcterms:created xsi:type="dcterms:W3CDTF">1998-11-26T10:24:39Z</dcterms:created>
  <dcterms:modified xsi:type="dcterms:W3CDTF">2005-09-29T15:19:41Z</dcterms:modified>
  <cp:category/>
  <cp:version/>
  <cp:contentType/>
  <cp:contentStatus/>
</cp:coreProperties>
</file>