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15" windowWidth="15330" windowHeight="9510" tabRatio="603" activeTab="3"/>
  </bookViews>
  <sheets>
    <sheet name="Appendix 1" sheetId="1" r:id="rId1"/>
    <sheet name="Appendix 2" sheetId="2" r:id="rId2"/>
    <sheet name="Appendix 3" sheetId="3" r:id="rId3"/>
    <sheet name="Appendix 4" sheetId="4" r:id="rId4"/>
  </sheets>
  <externalReferences>
    <externalReference r:id="rId7"/>
    <externalReference r:id="rId8"/>
  </externalReferences>
  <definedNames>
    <definedName name="ARTS___LEISURE" localSheetId="3">#REF!</definedName>
    <definedName name="ARTS___LEISURE">#REF!</definedName>
    <definedName name="Barton_Moss_Primary_School" localSheetId="3">#REF!</definedName>
    <definedName name="Barton_Moss_Primary_School">#REF!</definedName>
    <definedName name="Cadishead_Infant_Junior_School" localSheetId="3">#REF!</definedName>
    <definedName name="Cadishead_Infant_Junior_School">#REF!</definedName>
    <definedName name="CAPITAL_CHALLENGE" localSheetId="3">#REF!</definedName>
    <definedName name="CAPITAL_CHALLENGE">#REF!</definedName>
    <definedName name="COUNTRYSIDE_PARTNERSHIP" localSheetId="3">#REF!</definedName>
    <definedName name="COUNTRYSIDE_PARTNERSHIP">#REF!</definedName>
    <definedName name="EDUCATION" localSheetId="3">#REF!</definedName>
    <definedName name="EDUCATION">#REF!</definedName>
    <definedName name="ENVIRONMENTAL___CONSUMER_SERVICES" localSheetId="3">#REF!</definedName>
    <definedName name="ENVIRONMENTAL___CONSUMER_SERVICES">#REF!</definedName>
    <definedName name="FINANCE" localSheetId="3">#REF!</definedName>
    <definedName name="FINANCE">#REF!</definedName>
    <definedName name="HIGHWAYS" localSheetId="3">#REF!</definedName>
    <definedName name="HIGHWAYS">#REF!</definedName>
    <definedName name="HOUSING" localSheetId="3">#REF!</definedName>
    <definedName name="HOUSING">#REF!</definedName>
    <definedName name="MANAGEMENT_SERVICES" localSheetId="3">#REF!</definedName>
    <definedName name="MANAGEMENT_SERVICES">#REF!</definedName>
    <definedName name="POLICY___RESOURCES" localSheetId="3">#REF!</definedName>
    <definedName name="POLICY___RESOURCES">#REF!</definedName>
    <definedName name="_xlnm.Print_Area" localSheetId="0">'Appendix 1'!$C$2:$AE$805</definedName>
    <definedName name="_xlnm.Print_Area" localSheetId="1">'Appendix 2'!$B$2:$G$49</definedName>
    <definedName name="_xlnm.Print_Area" localSheetId="3">'Appendix 4'!$B$3:$M$21</definedName>
    <definedName name="_xlnm.Print_Titles" localSheetId="0">'Appendix 1'!$C:$D,'Appendix 1'!$1:$4</definedName>
    <definedName name="_xlnm.Print_Titles" localSheetId="1">'Appendix 2'!$4:$10</definedName>
    <definedName name="SINGLE_REGENERATION_BUDGET_1" localSheetId="3">#REF!</definedName>
    <definedName name="SINGLE_REGENERATION_BUDGET_1">#REF!</definedName>
    <definedName name="SINGLE_REGENERATION_BUDGET_2" localSheetId="3">#REF!</definedName>
    <definedName name="SINGLE_REGENERATION_BUDGET_2">#REF!</definedName>
    <definedName name="SINGLE_REGENERATION_BUDGET_3" localSheetId="3">#REF!</definedName>
    <definedName name="SINGLE_REGENERATION_BUDGET_3">#REF!</definedName>
    <definedName name="SOCIAL_SERVICES" localSheetId="3">#REF!</definedName>
    <definedName name="SOCIAL_SERVICES">#REF!</definedName>
  </definedNames>
  <calcPr fullCalcOnLoad="1"/>
</workbook>
</file>

<file path=xl/comments1.xml><?xml version="1.0" encoding="utf-8"?>
<comments xmlns="http://schemas.openxmlformats.org/spreadsheetml/2006/main">
  <authors>
    <author>City of Salford</author>
  </authors>
  <commentList>
    <comment ref="X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single capital pot
9001
</t>
        </r>
      </text>
    </comment>
    <comment ref="Y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ringfenced
9003</t>
        </r>
      </text>
    </comment>
    <comment ref="AB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9007
COLUMN SHOWS CAP RECEIPTS REQUIRED NOT THOSE AVAILABLE</t>
        </r>
      </text>
    </comment>
    <comment ref="AI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9027
</t>
        </r>
      </text>
    </comment>
    <comment ref="AR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9029</t>
        </r>
      </text>
    </comment>
    <comment ref="AQ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9057
</t>
        </r>
      </text>
    </comment>
    <comment ref="AJ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9055</t>
        </r>
      </text>
    </comment>
    <comment ref="AL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9045</t>
        </r>
      </text>
    </comment>
    <comment ref="AM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9043</t>
        </r>
      </text>
    </comment>
    <comment ref="AF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 other govt grants
9037 other grants
9039 privat sector cont
9041 other cont
</t>
        </r>
      </text>
    </comment>
    <comment ref="AA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9011
</t>
        </r>
      </text>
    </comment>
    <comment ref="AV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</t>
        </r>
      </text>
    </comment>
    <comment ref="C67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04/05
</t>
        </r>
      </text>
    </comment>
    <comment ref="D39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
</t>
        </r>
      </text>
    </comment>
    <comment ref="D55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56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61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61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62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62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72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72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58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</t>
        </r>
      </text>
    </comment>
    <comment ref="D58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58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59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59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59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59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59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59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59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59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Z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9001 unsupported borrowing</t>
        </r>
      </text>
    </comment>
    <comment ref="AG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</t>
        </r>
      </text>
    </comment>
    <comment ref="AH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
</t>
        </r>
      </text>
    </comment>
    <comment ref="AN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
</t>
        </r>
      </text>
    </comment>
    <comment ref="AO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</t>
        </r>
      </text>
    </comment>
    <comment ref="AP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</t>
        </r>
      </text>
    </comment>
    <comment ref="AS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
</t>
        </r>
      </text>
    </comment>
    <comment ref="AT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
</t>
        </r>
      </text>
    </comment>
    <comment ref="D62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04/05 office moves budget unallocated at end of year, reduces carry forward of office 
moves spend
</t>
        </r>
      </text>
    </comment>
    <comment ref="D62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04/05 office moves budget unallocated at end of year, reduces carry forward of office 
moves spend
</t>
        </r>
      </text>
    </comment>
    <comment ref="H15" authorId="0">
      <text>
        <r>
          <rPr>
            <sz val="8"/>
            <rFont val="Tahoma"/>
            <family val="2"/>
          </rPr>
          <t xml:space="preserve">this line represents HMRF monthly cash flow estimate
it is used to cash flow all private sector programme pro rata
</t>
        </r>
      </text>
    </comment>
    <comment ref="H83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winton and belvedere</t>
        </r>
      </text>
    </comment>
    <comment ref="AA536" authorId="0">
      <text>
        <r>
          <rPr>
            <sz val="8"/>
            <rFont val="Tahoma"/>
            <family val="2"/>
          </rPr>
          <t>Barton moss contribution
0.036  goes through at year end as an appropriation</t>
        </r>
      </text>
    </comment>
  </commentList>
</comments>
</file>

<file path=xl/comments2.xml><?xml version="1.0" encoding="utf-8"?>
<comments xmlns="http://schemas.openxmlformats.org/spreadsheetml/2006/main">
  <authors>
    <author>City of Salford</author>
  </authors>
  <commentList>
    <comment ref="C3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
LINE 5
</t>
        </r>
      </text>
    </comment>
    <comment ref="C1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1
</t>
        </r>
      </text>
    </comment>
    <comment ref="C2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2</t>
        </r>
      </text>
    </comment>
    <comment ref="C2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3
</t>
        </r>
      </text>
    </comment>
    <comment ref="C2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4</t>
        </r>
      </text>
    </comment>
    <comment ref="C3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6</t>
        </r>
      </text>
    </comment>
    <comment ref="F2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2</t>
        </r>
      </text>
    </comment>
  </commentList>
</comments>
</file>

<file path=xl/sharedStrings.xml><?xml version="1.0" encoding="utf-8"?>
<sst xmlns="http://schemas.openxmlformats.org/spreadsheetml/2006/main" count="1703" uniqueCount="1245">
  <si>
    <t>Chapel Street Walking Plan</t>
  </si>
  <si>
    <t>Contribution to URC Business Plan</t>
  </si>
  <si>
    <t>Chapel Street/URC (04/05 Slippage)</t>
  </si>
  <si>
    <t>NWDA Headroom projects</t>
  </si>
  <si>
    <t>Duchy Road Public House</t>
  </si>
  <si>
    <t>March</t>
  </si>
  <si>
    <t>S05106</t>
  </si>
  <si>
    <t>The Limes - Fire Safety</t>
  </si>
  <si>
    <t>S05107</t>
  </si>
  <si>
    <t>White Meadows - Fire Safety</t>
  </si>
  <si>
    <t>S09008</t>
  </si>
  <si>
    <t>Day Services Modernisation Unallocated</t>
  </si>
  <si>
    <t>S05109</t>
  </si>
  <si>
    <t>The Limes - Bathroom/laundry/anc space impr</t>
  </si>
  <si>
    <t>S06054</t>
  </si>
  <si>
    <t>Alexandra House - Bathroom  &amp; Toilets</t>
  </si>
  <si>
    <t>S06155</t>
  </si>
  <si>
    <t>Waterside - Replacement boiler</t>
  </si>
  <si>
    <t>S08061</t>
  </si>
  <si>
    <t>Crompton House - remodelling of garage</t>
  </si>
  <si>
    <t>S09010</t>
  </si>
  <si>
    <t>Brierley CC - Demolition stables/gym</t>
  </si>
  <si>
    <t>S09011</t>
  </si>
  <si>
    <t>Wardley CC - Car park/paved areas resurface</t>
  </si>
  <si>
    <t>S09012</t>
  </si>
  <si>
    <t>Wardley CC - Replacement boiler</t>
  </si>
  <si>
    <t>S09013</t>
  </si>
  <si>
    <t>Boothstown CC - Replacement boiler</t>
  </si>
  <si>
    <t>S08056</t>
  </si>
  <si>
    <t>Improving Information Management 2004/2005</t>
  </si>
  <si>
    <t>S08058</t>
  </si>
  <si>
    <t>Improving Information Management 2005/2006</t>
  </si>
  <si>
    <t>S04006</t>
  </si>
  <si>
    <t>Mental Health - S C E (2004/2005)</t>
  </si>
  <si>
    <t>S09003</t>
  </si>
  <si>
    <t>Boothstown / Worsley C C Refurb - Retention</t>
  </si>
  <si>
    <t>S09005</t>
  </si>
  <si>
    <t>Wardley Community Centre - Retention</t>
  </si>
  <si>
    <t>S09007</t>
  </si>
  <si>
    <t>Womens Centre</t>
  </si>
  <si>
    <t>S00001</t>
  </si>
  <si>
    <t>Alterations to Properties - Foster Carers</t>
  </si>
  <si>
    <t>S08057</t>
  </si>
  <si>
    <t>Integrated Children's Services 2004/5</t>
  </si>
  <si>
    <t>S08059</t>
  </si>
  <si>
    <t>Integrated Children's Services 2005/6</t>
  </si>
  <si>
    <t>S06051</t>
  </si>
  <si>
    <t>Humphrey Booth L B - Booth's Charity Funded</t>
  </si>
  <si>
    <t>S06052</t>
  </si>
  <si>
    <t>Humphrey Booth Ordsall - Booth's Charity Funded</t>
  </si>
  <si>
    <t>S09101</t>
  </si>
  <si>
    <t>STASH Day Centre</t>
  </si>
  <si>
    <t>.020 mental health contribution</t>
  </si>
  <si>
    <t>.002 community contribution</t>
  </si>
  <si>
    <t>.006 community contribution</t>
  </si>
  <si>
    <t>.019 humphrey booth</t>
  </si>
  <si>
    <t>.031 humphrey booth</t>
  </si>
  <si>
    <t>S06151</t>
  </si>
  <si>
    <t>Waterside Resource Centre</t>
  </si>
  <si>
    <t>NEW DEAL/ NORTH IRWELL</t>
  </si>
  <si>
    <t>Higher Broughton</t>
  </si>
  <si>
    <t>CLAREMONT / WEASTE</t>
  </si>
  <si>
    <t>ENTERPRISE PARK</t>
  </si>
  <si>
    <t>ORDSALL</t>
  </si>
  <si>
    <t>NON AREA BASED</t>
  </si>
  <si>
    <t>OUTER AREA / CITYWIDE</t>
  </si>
  <si>
    <t>Underprogramming</t>
  </si>
  <si>
    <t>PRIVATE SECTOR HOUSING</t>
  </si>
  <si>
    <t>PRIVATE SECTOR HOUSING -TOTAL</t>
  </si>
  <si>
    <t>PUBLIC SECTOR HOUSING</t>
  </si>
  <si>
    <t>PUBLIC SECTOR HOUSING - TOTAL</t>
  </si>
  <si>
    <t>Play Area - Albert Park</t>
  </si>
  <si>
    <t>Unsupported Borrowing</t>
  </si>
  <si>
    <t>Disposal</t>
  </si>
  <si>
    <t>Estimated Receipt</t>
  </si>
  <si>
    <t>Preliminaries/Marketing</t>
  </si>
  <si>
    <t>Legal/Planning</t>
  </si>
  <si>
    <t>Completion</t>
  </si>
  <si>
    <r>
      <t>TIMESCALES-RECEIPTS IN EXCESS OF £100,000</t>
    </r>
    <r>
      <rPr>
        <sz val="10"/>
        <rFont val="Arial"/>
        <family val="2"/>
      </rPr>
      <t xml:space="preserve"> </t>
    </r>
  </si>
  <si>
    <t>D07260</t>
  </si>
  <si>
    <t>D07261</t>
  </si>
  <si>
    <t>D07262</t>
  </si>
  <si>
    <t>D07263</t>
  </si>
  <si>
    <t>D07264</t>
  </si>
  <si>
    <t>D07265</t>
  </si>
  <si>
    <t>D07266</t>
  </si>
  <si>
    <t>D07267</t>
  </si>
  <si>
    <t>D07268</t>
  </si>
  <si>
    <t>D07269</t>
  </si>
  <si>
    <t>D07270</t>
  </si>
  <si>
    <t>D07271</t>
  </si>
  <si>
    <t>D07272</t>
  </si>
  <si>
    <t>D07273</t>
  </si>
  <si>
    <t>D07274</t>
  </si>
  <si>
    <t>D07275</t>
  </si>
  <si>
    <t>D07276</t>
  </si>
  <si>
    <t>D07277</t>
  </si>
  <si>
    <t>D07278</t>
  </si>
  <si>
    <t>D07279</t>
  </si>
  <si>
    <t>D07280</t>
  </si>
  <si>
    <t>D07281</t>
  </si>
  <si>
    <t>D07282</t>
  </si>
  <si>
    <t>D07283</t>
  </si>
  <si>
    <t>D07284</t>
  </si>
  <si>
    <t>D07285</t>
  </si>
  <si>
    <t>D07286</t>
  </si>
  <si>
    <t>D07287</t>
  </si>
  <si>
    <t>D07288</t>
  </si>
  <si>
    <t>D07289</t>
  </si>
  <si>
    <t>D07290</t>
  </si>
  <si>
    <t>Sports Village</t>
  </si>
  <si>
    <t xml:space="preserve"> 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</si>
  <si>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</si>
  <si>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</si>
  <si>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</si>
  <si>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</si>
  <si>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</si>
  <si>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</si>
  <si>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</si>
  <si>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</si>
  <si>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</si>
  <si>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</si>
  <si>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</si>
  <si>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</si>
  <si>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D00003</t>
  </si>
  <si>
    <t>Cadishead Way Stage 1</t>
  </si>
  <si>
    <t>Timing adjustments</t>
  </si>
  <si>
    <t>Red Rose Scheme</t>
  </si>
  <si>
    <t>Resources total (includes receipts required)</t>
  </si>
  <si>
    <t xml:space="preserve">adjust for actual reciepts </t>
  </si>
  <si>
    <t>Resources adjusted for forecast receipts</t>
  </si>
  <si>
    <t>Sufplus/(shortfall) in resources over programme</t>
  </si>
  <si>
    <t>Disposal Costs</t>
  </si>
  <si>
    <t>LIVIA Community Engagement Programme</t>
  </si>
  <si>
    <t>Salford Innovation Park</t>
  </si>
  <si>
    <t xml:space="preserve">Lead Member Corporate Services - 2005/06 Tender Approvals </t>
  </si>
  <si>
    <t>2006/07</t>
  </si>
  <si>
    <t xml:space="preserve">CAPITAL RECEIPTS 2005/06 </t>
  </si>
  <si>
    <r>
      <t xml:space="preserve">                                                         </t>
    </r>
    <r>
      <rPr>
        <b/>
        <u val="single"/>
        <sz val="10"/>
        <rFont val="Arial"/>
        <family val="2"/>
      </rPr>
      <t>2005/06 ESTIMATED CAPITAL RECEIPTS</t>
    </r>
  </si>
  <si>
    <t>2005/06 Estimate</t>
  </si>
  <si>
    <t>Implementing e government</t>
  </si>
  <si>
    <t>Arts and Leisure - Broughton Pool additional scheme</t>
  </si>
  <si>
    <t>Arts and Leisure - Irlam Pool additional scheme</t>
  </si>
  <si>
    <t>Worsley Pool</t>
  </si>
  <si>
    <t>emerson house dev servs</t>
  </si>
  <si>
    <t>Improvement Works Swinton Civic Centre</t>
  </si>
  <si>
    <t>Ordsall Rec drainage</t>
  </si>
  <si>
    <t xml:space="preserve">DDA arts and leisure </t>
  </si>
  <si>
    <t>Cemetery Infrastructure</t>
  </si>
  <si>
    <t>Office Refurbishments</t>
  </si>
  <si>
    <t>PE and Sports NOF</t>
  </si>
  <si>
    <t>City wide investment</t>
  </si>
  <si>
    <t>Community Envrionment Programme</t>
  </si>
  <si>
    <t>Highway and Community Safety</t>
  </si>
  <si>
    <t>Site Assembly</t>
  </si>
  <si>
    <t>Mini Bus</t>
  </si>
  <si>
    <t>Environmental/Shop Parade Improvements</t>
  </si>
  <si>
    <t>Charlestown and Lower Kersal in Bloom</t>
  </si>
  <si>
    <t>Alleygating</t>
  </si>
  <si>
    <t>Riverside Bowling and Leisure Activity Centre</t>
  </si>
  <si>
    <t>Manchester Bolton Bury Canal</t>
  </si>
  <si>
    <t>Ordsall Neighbourhood office</t>
  </si>
  <si>
    <t>Eccles Town Centre Slipped from 04/05</t>
  </si>
  <si>
    <t>Dealing with the Disadvantaged</t>
  </si>
  <si>
    <t>Detroit Bridge</t>
  </si>
  <si>
    <t>City Academy Access Road</t>
  </si>
  <si>
    <t xml:space="preserve">Disabled Access Improvements </t>
  </si>
  <si>
    <t>Newlands (LIVIA)</t>
  </si>
  <si>
    <t>Investment in the Highways</t>
  </si>
  <si>
    <t>Surplus Place Removal Radclyffe/St Clements</t>
  </si>
  <si>
    <t>NDS Condition/Modernisation</t>
  </si>
  <si>
    <t>Capitalised salaries</t>
  </si>
  <si>
    <t>Devolved Formual Capital</t>
  </si>
  <si>
    <t>Out of School Childcare</t>
  </si>
  <si>
    <t>Beacon Resource Centre</t>
  </si>
  <si>
    <t>PFI 2</t>
  </si>
  <si>
    <t>Specialist colleges</t>
  </si>
  <si>
    <t>Education SB adjustment</t>
  </si>
  <si>
    <t>Education contribution to cap'n of revenue</t>
  </si>
  <si>
    <t>Stay Inn, Trinity Way</t>
  </si>
  <si>
    <t>265/273 &amp; 281,Chapel Street</t>
  </si>
  <si>
    <t>Wilburn Street Basin</t>
  </si>
  <si>
    <t>Ontario Basin</t>
  </si>
  <si>
    <t>Langwothy / Seedley</t>
  </si>
  <si>
    <t>Advance Fees</t>
  </si>
  <si>
    <t>Actual spend</t>
  </si>
  <si>
    <t xml:space="preserve">HOUSING TOTAL </t>
  </si>
  <si>
    <t>Lledr Hall</t>
  </si>
  <si>
    <t>Irlam Pool</t>
  </si>
  <si>
    <t>Clarendon Pool</t>
  </si>
  <si>
    <t>Jewish Orthodox Schools</t>
  </si>
  <si>
    <t>St Ambrose Barlow</t>
  </si>
  <si>
    <t xml:space="preserve">Central </t>
  </si>
  <si>
    <t xml:space="preserve">SURPLUS/(SHORTFALL) IN CAPITAL RECEIPTS </t>
  </si>
  <si>
    <t>RECEIPTS BROUGHT FORWARD</t>
  </si>
  <si>
    <t>SCE (R)</t>
  </si>
  <si>
    <t>Single capital pot</t>
  </si>
  <si>
    <t>St Patricks</t>
  </si>
  <si>
    <t>D07230-d07259</t>
  </si>
  <si>
    <t>DDA Footpaths</t>
  </si>
  <si>
    <t>D07200-d07229</t>
  </si>
  <si>
    <t>on sap d99999 7027</t>
  </si>
  <si>
    <t>Page 8</t>
  </si>
  <si>
    <t>Page 10</t>
  </si>
  <si>
    <t>Page 2</t>
  </si>
  <si>
    <t>Page 3</t>
  </si>
  <si>
    <t>Page 4</t>
  </si>
  <si>
    <t>Page 5</t>
  </si>
  <si>
    <t>Page 6</t>
  </si>
  <si>
    <t>Page 7</t>
  </si>
  <si>
    <t>Page 9</t>
  </si>
  <si>
    <t>D99999 7015 contains  , 0.250 highways improvement less overprogramming of 0.115</t>
  </si>
  <si>
    <t>D00050</t>
  </si>
  <si>
    <t>Resources and underprogramming</t>
  </si>
  <si>
    <t>General Fund - Properties and Land</t>
  </si>
  <si>
    <t xml:space="preserve">       CAPITAL</t>
  </si>
  <si>
    <t xml:space="preserve">   USABLE</t>
  </si>
  <si>
    <t xml:space="preserve">       RECEIPT</t>
  </si>
  <si>
    <t xml:space="preserve">    Amount</t>
  </si>
  <si>
    <t xml:space="preserve">         £000s</t>
  </si>
  <si>
    <t xml:space="preserve">      £000s</t>
  </si>
  <si>
    <t>COMPLETED DISPOSALS</t>
  </si>
  <si>
    <t>Housing Right-to-Buy</t>
  </si>
  <si>
    <t>TOTAL COMPLETED</t>
  </si>
  <si>
    <t>APPROVED DISPOSALS</t>
  </si>
  <si>
    <t>TOTAL ESTIMATED DISPOSALS</t>
  </si>
  <si>
    <t>TOTAL ESTIMATED RECEIPTS</t>
  </si>
  <si>
    <t>EDUCATION</t>
  </si>
  <si>
    <t>HIGHWAYS</t>
  </si>
  <si>
    <t>SOCIAL SERVICES</t>
  </si>
  <si>
    <t>ARTS &amp; LEISURE</t>
  </si>
  <si>
    <t>ERDF</t>
  </si>
  <si>
    <t>£m</t>
  </si>
  <si>
    <t>%</t>
  </si>
  <si>
    <t>Prop'n</t>
  </si>
  <si>
    <t>Total</t>
  </si>
  <si>
    <t>Housing Land</t>
  </si>
  <si>
    <t>Scheme Details</t>
  </si>
  <si>
    <t>Costs</t>
  </si>
  <si>
    <t>Source of</t>
  </si>
  <si>
    <t>Funding</t>
  </si>
  <si>
    <t>Onwards</t>
  </si>
  <si>
    <t>Contract</t>
  </si>
  <si>
    <t>Start</t>
  </si>
  <si>
    <t>Finish</t>
  </si>
  <si>
    <t>The Albion</t>
  </si>
  <si>
    <t>Schools Access Initiative</t>
  </si>
  <si>
    <t>EDUCATION - TOTAL</t>
  </si>
  <si>
    <t>Local Safety schemes</t>
  </si>
  <si>
    <t>Principal Roads Structural Maintenance</t>
  </si>
  <si>
    <t xml:space="preserve">Bridge Assessment and Strengthening Schemes </t>
  </si>
  <si>
    <t>Other Minor Schemes</t>
  </si>
  <si>
    <t>HIGHWAYS - TOTAL</t>
  </si>
  <si>
    <t>SOCIAL SERVICES -TOTAL</t>
  </si>
  <si>
    <t>ARTS &amp; LEISURE - TOTAL</t>
  </si>
  <si>
    <t>ENVIRONMENTAL SERVICES</t>
  </si>
  <si>
    <t>Capitalisation of Revenue</t>
  </si>
  <si>
    <t>TOTAL</t>
  </si>
  <si>
    <t>Housing Land &amp; Property</t>
  </si>
  <si>
    <t>Wentworth High School</t>
  </si>
  <si>
    <t xml:space="preserve">Public Transport Schemes </t>
  </si>
  <si>
    <t>Schemes to Assist Cycling</t>
  </si>
  <si>
    <t>Buille Hill Park Restoration</t>
  </si>
  <si>
    <t>Gateway</t>
  </si>
  <si>
    <t>Minor Works Fund</t>
  </si>
  <si>
    <t>Less - Costs to be set against capital receipts</t>
  </si>
  <si>
    <t>Cadishead Way Stage 2</t>
  </si>
  <si>
    <t>NWDA</t>
  </si>
  <si>
    <t>RCCO</t>
  </si>
  <si>
    <t>CAPITAL RECEIPTS</t>
  </si>
  <si>
    <t>GRANT</t>
  </si>
  <si>
    <t>OTHER</t>
  </si>
  <si>
    <t>TSG</t>
  </si>
  <si>
    <t>DFG</t>
  </si>
  <si>
    <t>SRB</t>
  </si>
  <si>
    <t>NDC</t>
  </si>
  <si>
    <t>Lottery</t>
  </si>
  <si>
    <t>HMRF</t>
  </si>
  <si>
    <t>Other</t>
  </si>
  <si>
    <t>Notes</t>
  </si>
  <si>
    <t>NDS</t>
  </si>
  <si>
    <t>DFC</t>
  </si>
  <si>
    <t>SEED</t>
  </si>
  <si>
    <t>STANDARDS FUND</t>
  </si>
  <si>
    <t>Home Office</t>
  </si>
  <si>
    <t>Surestart</t>
  </si>
  <si>
    <t>Capital Programme 2004/05</t>
  </si>
  <si>
    <t>Playgroup Conversion</t>
  </si>
  <si>
    <t>Primary Review</t>
  </si>
  <si>
    <t>2005/06</t>
  </si>
  <si>
    <t>Manchester/Salford Inner Relief Route</t>
  </si>
  <si>
    <t>Parks Infrastructure Improvements</t>
  </si>
  <si>
    <t>ENVIRONMENTAL SERVICES - TOTAL</t>
  </si>
  <si>
    <t>Cleavley Athletic Track</t>
  </si>
  <si>
    <t xml:space="preserve">CHIEF EXECUTIVE </t>
  </si>
  <si>
    <t>CHIEF EXECUTIVE - TOTAL</t>
  </si>
  <si>
    <t>EP</t>
  </si>
  <si>
    <t>lift enabling fund</t>
  </si>
  <si>
    <t>programme including unfunded from 03/04</t>
  </si>
  <si>
    <t>summary</t>
  </si>
  <si>
    <t>PROGRAMME TOTAL</t>
  </si>
  <si>
    <t>empty c00060</t>
  </si>
  <si>
    <t>Moorfield House</t>
  </si>
  <si>
    <t>Resources 2004/05</t>
  </si>
  <si>
    <t>Profiled spend</t>
  </si>
  <si>
    <t>RING FENCED</t>
  </si>
  <si>
    <t xml:space="preserve">SAP </t>
  </si>
  <si>
    <t>REF</t>
  </si>
  <si>
    <t>D00004</t>
  </si>
  <si>
    <t>D00005</t>
  </si>
  <si>
    <t>Lightoaks Park</t>
  </si>
  <si>
    <t>Winton Play area</t>
  </si>
  <si>
    <t>Data Centre</t>
  </si>
  <si>
    <t>Swinton Library temporary relocation</t>
  </si>
  <si>
    <t>Replacement Council Tax system</t>
  </si>
  <si>
    <t>e governmnent grant 05/06</t>
  </si>
  <si>
    <t>disp starts here</t>
  </si>
  <si>
    <t>0.017 cont from SCL</t>
  </si>
  <si>
    <t>0.030 cont from SCL</t>
  </si>
  <si>
    <t>EFFECT OF 04/05 OUTTURN</t>
  </si>
  <si>
    <t>Clarendon Pool access\equipment</t>
  </si>
  <si>
    <t xml:space="preserve">.006 cont from SCL, 0.014 sports grant - Inclusive fitness initiative grant </t>
  </si>
  <si>
    <t>C00068</t>
  </si>
  <si>
    <t>C00069</t>
  </si>
  <si>
    <t>Call Centre - relocation</t>
  </si>
  <si>
    <t>Upgrading IT training rooms</t>
  </si>
  <si>
    <t>Waste Performance Efficiency Grant</t>
  </si>
  <si>
    <t>Wheeled Bins</t>
  </si>
  <si>
    <t>St Simon St</t>
  </si>
  <si>
    <t>Willowbank/Mere drive Site, Clifton.</t>
  </si>
  <si>
    <t>Land at Lane End</t>
  </si>
  <si>
    <t>Land at Ravenscraig Road</t>
  </si>
  <si>
    <t>Eccles Youth Centre</t>
  </si>
  <si>
    <t>sustrans contribution</t>
  </si>
  <si>
    <t>.075 other block 3 or RCCO</t>
  </si>
  <si>
    <t>.118 office moves budget</t>
  </si>
  <si>
    <t>Central Salford</t>
  </si>
  <si>
    <t>Expanding Boundaries</t>
  </si>
  <si>
    <t>Recycling Bring Sites</t>
  </si>
  <si>
    <t xml:space="preserve"> 05/06 PROGRAMME TOTAL</t>
  </si>
  <si>
    <t>NET ESTIMATED RECEIPTS 05/06</t>
  </si>
  <si>
    <t>ESTIMATED RECEIPTS FOR 2005/06</t>
  </si>
  <si>
    <t>RECEIPTS REQUIRED FOR 2005/06 CAPITAL PROGRAMME</t>
  </si>
  <si>
    <t>December</t>
  </si>
  <si>
    <t>August</t>
  </si>
  <si>
    <t>September</t>
  </si>
  <si>
    <t>slip 0.287</t>
  </si>
  <si>
    <t>CUSTOMER AND SUPPORT SERVICES</t>
  </si>
  <si>
    <t>CUSTOMER AND SUPPORT SERVICES - TOTAL</t>
  </si>
  <si>
    <t>PLANNING SERVICES</t>
  </si>
  <si>
    <t>PLANNING SERVICES - TOTAL</t>
  </si>
  <si>
    <t>Block 3</t>
  </si>
  <si>
    <t>Liverpool Road Eccles</t>
  </si>
  <si>
    <t>env servs carry forward of receipts</t>
  </si>
  <si>
    <t>Slip SCE Crofters Heights</t>
  </si>
  <si>
    <t>Slip Beechfarm Lottery</t>
  </si>
  <si>
    <t>Slip Winton play area lottery</t>
  </si>
  <si>
    <t>Slip Winton play area surestart</t>
  </si>
  <si>
    <t>slip Croal Irwell  Access/Fencing section 106</t>
  </si>
  <si>
    <t>slip Sharp Street, Walkden section 106</t>
  </si>
  <si>
    <t>Boundary Road Irlam, section 106 not received 04/05, reduced carry forward of cap receipts into 05/06, section 106 will be available for use by env servs in 05/06</t>
  </si>
  <si>
    <t>slip Peel Park section 106</t>
  </si>
  <si>
    <t>NDS 4</t>
  </si>
  <si>
    <t>adult education grant</t>
  </si>
  <si>
    <t>surestart</t>
  </si>
  <si>
    <t>Class size reduction</t>
  </si>
  <si>
    <t>ACG minor works</t>
  </si>
  <si>
    <t>VA minor works</t>
  </si>
  <si>
    <t>NHS contribution</t>
  </si>
  <si>
    <t>NOF</t>
  </si>
  <si>
    <t>Efficiency Improvements</t>
  </si>
  <si>
    <t>LIVIA</t>
  </si>
  <si>
    <t>NWDA Tatton Park</t>
  </si>
  <si>
    <t>Trinity Park Chapel section 106</t>
  </si>
  <si>
    <t xml:space="preserve"> Oakwood Section 106 </t>
  </si>
  <si>
    <t>Eccles Town hall auditorium</t>
  </si>
  <si>
    <t>Countryside Programme</t>
  </si>
  <si>
    <t>Barton SES</t>
  </si>
  <si>
    <t>conserving and developing Ordsall Hall</t>
  </si>
  <si>
    <t>Quays Maintenance Office Move</t>
  </si>
  <si>
    <t>Footpath works</t>
  </si>
  <si>
    <t>relocation Tourist Inofrmation Centre</t>
  </si>
  <si>
    <t>16m MRA, 0.300m extra care housing slipped at outturn</t>
  </si>
  <si>
    <t>Pavement improvements</t>
  </si>
  <si>
    <t>carryforward cont to salford central</t>
  </si>
  <si>
    <t>Improvement s to the highway network</t>
  </si>
  <si>
    <t>NRF brought forward</t>
  </si>
  <si>
    <t>Highways depot</t>
  </si>
  <si>
    <t>on revenue journalled at year end</t>
  </si>
  <si>
    <t>Network and SANs upgrade</t>
  </si>
  <si>
    <t>Security Civic Centre Main Reception</t>
  </si>
  <si>
    <t>Hope Library</t>
  </si>
  <si>
    <t>Ordsall Recreation Centre</t>
  </si>
  <si>
    <t>Library service computerisation</t>
  </si>
  <si>
    <t>Winton Community  Library</t>
  </si>
  <si>
    <t xml:space="preserve">0.013 planning delivery grant, 0.010 DDA, </t>
  </si>
  <si>
    <t>section 106</t>
  </si>
  <si>
    <t>CEP grant</t>
  </si>
  <si>
    <t>child service grant</t>
  </si>
  <si>
    <t xml:space="preserve">Charlestown primary </t>
  </si>
  <si>
    <t>x</t>
  </si>
  <si>
    <t>0506</t>
  </si>
  <si>
    <t>04/05</t>
  </si>
  <si>
    <t>03/04</t>
  </si>
  <si>
    <t>02/03</t>
  </si>
  <si>
    <t>School Contributions</t>
  </si>
  <si>
    <t>Insurance Clifton Primary / Broadwalk</t>
  </si>
  <si>
    <t xml:space="preserve">Dept of Health Barton Moss Expansion </t>
  </si>
  <si>
    <t>Sure Start (Winton linrary)</t>
  </si>
  <si>
    <t>Beesley Green NOF</t>
  </si>
  <si>
    <t xml:space="preserve">shaded area is 534 timing difference in </t>
  </si>
  <si>
    <t>NOF/PE Sports</t>
  </si>
  <si>
    <t>resources due</t>
  </si>
  <si>
    <t>SPACE</t>
  </si>
  <si>
    <t>Central salford</t>
  </si>
  <si>
    <t>Chapel Wharf</t>
  </si>
  <si>
    <t>Fire insurance Moorside CP fire damage claim not finalised</t>
  </si>
  <si>
    <t>RCCO due E00037, from budget on D(or E??)6110 agreed with Dave mac to correct in new year</t>
  </si>
  <si>
    <t xml:space="preserve">Winton Community Library RCCO from dev services </t>
  </si>
  <si>
    <t>Finacc 04 timing differences</t>
  </si>
  <si>
    <t>D00500</t>
  </si>
  <si>
    <t>Bridge Inspections and  Assessments</t>
  </si>
  <si>
    <t>D00501</t>
  </si>
  <si>
    <t>Bridges general</t>
  </si>
  <si>
    <t>D00503</t>
  </si>
  <si>
    <t>Subways</t>
  </si>
  <si>
    <t>D00512</t>
  </si>
  <si>
    <t>Eccles Old Road Underpass</t>
  </si>
  <si>
    <t>D00524</t>
  </si>
  <si>
    <t>Pendleton Roundabout Parapets Ph1</t>
  </si>
  <si>
    <t>D00525</t>
  </si>
  <si>
    <t>Railtrack Incursion Works</t>
  </si>
  <si>
    <t>D00527</t>
  </si>
  <si>
    <t>Culvert Safety Improvement Programme</t>
  </si>
  <si>
    <t>D00528</t>
  </si>
  <si>
    <t>Wallness Bridge</t>
  </si>
  <si>
    <t>D00529</t>
  </si>
  <si>
    <t>West Egerton Street Bridge</t>
  </si>
  <si>
    <t>D00530</t>
  </si>
  <si>
    <t>Woden Street Footbridge</t>
  </si>
  <si>
    <t>D00531</t>
  </si>
  <si>
    <t>Eccles Road Footbridge Painting</t>
  </si>
  <si>
    <t>D00532</t>
  </si>
  <si>
    <t>Hough Lane Footbridge</t>
  </si>
  <si>
    <t>D00533</t>
  </si>
  <si>
    <t>Stott Lane Railway Bridge</t>
  </si>
  <si>
    <t>D00534</t>
  </si>
  <si>
    <t>Heywood Way Subway Infill</t>
  </si>
  <si>
    <t>-</t>
  </si>
  <si>
    <t>D00535</t>
  </si>
  <si>
    <t>Pendleton Roundabout Parapets Ph2</t>
  </si>
  <si>
    <t>D00536</t>
  </si>
  <si>
    <t>East Ordsall Lane Canal Bridge</t>
  </si>
  <si>
    <t>D00537</t>
  </si>
  <si>
    <t>Eccles Old Road Subway Drainage</t>
  </si>
  <si>
    <t>D00538</t>
  </si>
  <si>
    <t>Swinton Subway (Moorside Ramp)</t>
  </si>
  <si>
    <t>D00539</t>
  </si>
  <si>
    <t>Little Hulton Station Bridge</t>
  </si>
  <si>
    <t>D00540</t>
  </si>
  <si>
    <t>West/East Bridges, Pendleton Roundabout</t>
  </si>
  <si>
    <t>D00541</t>
  </si>
  <si>
    <t>Monton Canal Bridge</t>
  </si>
  <si>
    <t>D00542</t>
  </si>
  <si>
    <t>Mariners Canal Central Footbridge</t>
  </si>
  <si>
    <t>D00543</t>
  </si>
  <si>
    <t>Pendleton Roundabout Retaining Walls</t>
  </si>
  <si>
    <t>D00544</t>
  </si>
  <si>
    <t>Centenary Bridge Abutments</t>
  </si>
  <si>
    <t>D00601</t>
  </si>
  <si>
    <t>D00605</t>
  </si>
  <si>
    <t>BVPI Surveys</t>
  </si>
  <si>
    <t>D00606</t>
  </si>
  <si>
    <t>D00608</t>
  </si>
  <si>
    <t>Principal Road Maintenance - General</t>
  </si>
  <si>
    <t>D00610</t>
  </si>
  <si>
    <t>D00614</t>
  </si>
  <si>
    <t>Structural Maintenance of Minor Roads</t>
  </si>
  <si>
    <t>D00617</t>
  </si>
  <si>
    <t>A5066 Adelphi Street &amp; Silk Street</t>
  </si>
  <si>
    <t>D00618</t>
  </si>
  <si>
    <t>D00619</t>
  </si>
  <si>
    <t>D00620</t>
  </si>
  <si>
    <t>D00629</t>
  </si>
  <si>
    <t>Street Lighting Inventory Work</t>
  </si>
  <si>
    <t>D00630</t>
  </si>
  <si>
    <t>D00631</t>
  </si>
  <si>
    <t>Albion Way (Broad St - Regent Rd)</t>
  </si>
  <si>
    <t>D00632</t>
  </si>
  <si>
    <t>D00633</t>
  </si>
  <si>
    <t>D00101</t>
  </si>
  <si>
    <t>Anti-skid Surfacing Programme</t>
  </si>
  <si>
    <t>D00103</t>
  </si>
  <si>
    <t>Accident Investigation</t>
  </si>
  <si>
    <t>D00104</t>
  </si>
  <si>
    <t>White Lining Programme</t>
  </si>
  <si>
    <t>D00105</t>
  </si>
  <si>
    <t>Road Safety Strategy</t>
  </si>
  <si>
    <t>D00119</t>
  </si>
  <si>
    <t>Barton Lane Ped Improvements</t>
  </si>
  <si>
    <t>D00121</t>
  </si>
  <si>
    <t>A6 High Street/ Campbell Way</t>
  </si>
  <si>
    <t>D00141</t>
  </si>
  <si>
    <t>Moorside Rd/Wardley Ind Estate Area Sch</t>
  </si>
  <si>
    <t>D00142</t>
  </si>
  <si>
    <t>B5229 Monton Centre Scheme</t>
  </si>
  <si>
    <t>D00143</t>
  </si>
  <si>
    <t>Cadishead NW Area Safety Scheme</t>
  </si>
  <si>
    <t>D00148</t>
  </si>
  <si>
    <t>A6 Chorley Road Route Scheme</t>
  </si>
  <si>
    <t>D00161</t>
  </si>
  <si>
    <t>Trafford Road, Eccles, Speed Management</t>
  </si>
  <si>
    <t>D00172</t>
  </si>
  <si>
    <t>Kersal Area Traffic Calming</t>
  </si>
  <si>
    <t>D00173</t>
  </si>
  <si>
    <t>New Lane, Winton</t>
  </si>
  <si>
    <t>D00175</t>
  </si>
  <si>
    <t>Amendments to Early T Calming Schemes</t>
  </si>
  <si>
    <t>D00176</t>
  </si>
  <si>
    <t>Dealing with Disadvantage Initiative</t>
  </si>
  <si>
    <t>D00177</t>
  </si>
  <si>
    <t>Liverpool Rd, Cad, Speed Management</t>
  </si>
  <si>
    <t>D00178</t>
  </si>
  <si>
    <t>Greenleach Lane, Worsley</t>
  </si>
  <si>
    <t>D00179</t>
  </si>
  <si>
    <t>Oxford Road Remedial Traffic Calming</t>
  </si>
  <si>
    <t>D00180</t>
  </si>
  <si>
    <t>Langley Rd Speed Reduction Measures</t>
  </si>
  <si>
    <t>D00181</t>
  </si>
  <si>
    <t xml:space="preserve">Light Oaks Primary Safer Routes </t>
  </si>
  <si>
    <t>D00182</t>
  </si>
  <si>
    <t>St Georges High  School Safer Routes</t>
  </si>
  <si>
    <t>D00183</t>
  </si>
  <si>
    <t>Station Rd/Bolton Rd Ped'n Facilities</t>
  </si>
  <si>
    <t>D00184</t>
  </si>
  <si>
    <t>Gerald Road Area Traffic Calming</t>
  </si>
  <si>
    <t>D00185</t>
  </si>
  <si>
    <t xml:space="preserve">Partington Ln/Worsley Rd Junction </t>
  </si>
  <si>
    <t>D00186</t>
  </si>
  <si>
    <t>A666 / M60 J'n Cyclist Awareness</t>
  </si>
  <si>
    <t>D00187</t>
  </si>
  <si>
    <t>Parrin Lane/Monton Fields St Lighting</t>
  </si>
  <si>
    <t>D00703</t>
  </si>
  <si>
    <t>A56 Quality Bus Corridor</t>
  </si>
  <si>
    <t>D00708</t>
  </si>
  <si>
    <t xml:space="preserve">Central Station Study </t>
  </si>
  <si>
    <t>D00803</t>
  </si>
  <si>
    <t>Barton Cycling Facilities</t>
  </si>
  <si>
    <t>D00805</t>
  </si>
  <si>
    <t>Cycle Parking Facilities</t>
  </si>
  <si>
    <t>D00806</t>
  </si>
  <si>
    <t>Sustrans Routes</t>
  </si>
  <si>
    <t>D00807</t>
  </si>
  <si>
    <t>Cycling Projects Grant Fund</t>
  </si>
  <si>
    <t>D00808</t>
  </si>
  <si>
    <t>Tyldesley Loopline Surfacing Improv'ts</t>
  </si>
  <si>
    <t>D00809</t>
  </si>
  <si>
    <t>Cycle Parking Facilities at Schools</t>
  </si>
  <si>
    <t>D00810</t>
  </si>
  <si>
    <t>Irwell Walk, Charlestown, New Deal Cont'</t>
  </si>
  <si>
    <t>D00811</t>
  </si>
  <si>
    <t>A580 East Lancs Rd (To Wigan Boundary)</t>
  </si>
  <si>
    <t>D00901</t>
  </si>
  <si>
    <t>GM Local Transport Plan</t>
  </si>
  <si>
    <t>D00902</t>
  </si>
  <si>
    <t>Salford's Green Transport Plan</t>
  </si>
  <si>
    <t>D00903</t>
  </si>
  <si>
    <t>M60/ PRN Signing</t>
  </si>
  <si>
    <t>D00909</t>
  </si>
  <si>
    <t>AGMA Countywide Advertising</t>
  </si>
  <si>
    <t>D00912</t>
  </si>
  <si>
    <t>Disabled Facilities at Pedestrian Crossings</t>
  </si>
  <si>
    <t>D00918</t>
  </si>
  <si>
    <t>Chapel St Pedestrian Route Improve'ts</t>
  </si>
  <si>
    <t>D00923</t>
  </si>
  <si>
    <t>Little Moss Lane Works</t>
  </si>
  <si>
    <t>D00924</t>
  </si>
  <si>
    <t>Miscellaneous SRTS Works</t>
  </si>
  <si>
    <t>D00925</t>
  </si>
  <si>
    <t>GMTU Non-core Modelling Work</t>
  </si>
  <si>
    <t>D00926</t>
  </si>
  <si>
    <t>Public Rights of Way Signing</t>
  </si>
  <si>
    <t>D00927</t>
  </si>
  <si>
    <t>Public Rights of Way Improvements</t>
  </si>
  <si>
    <t>D00928</t>
  </si>
  <si>
    <t>Barton Rd/Barton Ln J'n Improvement</t>
  </si>
  <si>
    <t>D00929</t>
  </si>
  <si>
    <t>Liverpool Rd, Cadishead, Town Centre</t>
  </si>
  <si>
    <t>D00930</t>
  </si>
  <si>
    <t>Oaklands Road</t>
  </si>
  <si>
    <t>D00931</t>
  </si>
  <si>
    <t>Chapel St/New Bailey St Ped Facilities</t>
  </si>
  <si>
    <t>D00932</t>
  </si>
  <si>
    <t>Station Road Puffin Crossing</t>
  </si>
  <si>
    <t>D00933</t>
  </si>
  <si>
    <t>Langworthy Road Parking Layby</t>
  </si>
  <si>
    <t>D00934</t>
  </si>
  <si>
    <t>Dropped Kerbs &amp; Tactile Paving Programme</t>
  </si>
  <si>
    <t>D00935</t>
  </si>
  <si>
    <t>A6 Chorley Rd / Moorside Rd Ped' Facilities</t>
  </si>
  <si>
    <t>D00936</t>
  </si>
  <si>
    <t>Chapel Street Traffic Management</t>
  </si>
  <si>
    <t>D00937</t>
  </si>
  <si>
    <t>Major Scheme Feasibility Studies</t>
  </si>
  <si>
    <t/>
  </si>
  <si>
    <t>A57 Liverpool Road, Cadishead (New Moss Road - Fir Street)</t>
  </si>
  <si>
    <t>A57 Liverpool Rd  (Boysnope - Barton Moss Road)</t>
  </si>
  <si>
    <t>A575 Walkden Road (Manchester Road - Park Road)</t>
  </si>
  <si>
    <t>A5066 Oldfield Road(Ordsall Lane - Regent Road)</t>
  </si>
  <si>
    <t>A5066 Oldfield Road (Regent Road - Crescent)</t>
  </si>
  <si>
    <t>A575 Cleggs Lane (A6 - Bolton Boundary)</t>
  </si>
  <si>
    <t>Langworthy Road (Liverpool Street - Eccles New Road)</t>
  </si>
  <si>
    <t>Worsley Road (East Lancs Rd - Ringlow Park Rd)</t>
  </si>
  <si>
    <t>A666 Manchester Road (Clifton House Road - Manley Avenue)</t>
  </si>
  <si>
    <t>add on 40 for sustrants cont</t>
  </si>
  <si>
    <t>Block 3 overprogramming less cfwd receipts</t>
  </si>
  <si>
    <t>Major schemes anticipated overspend</t>
  </si>
  <si>
    <t>Former Police Station, Stanwell Road, Swinton</t>
  </si>
  <si>
    <t>Capital receipts or Unsupported borrowing</t>
  </si>
  <si>
    <t>Higher Broughton Community Hub</t>
  </si>
  <si>
    <t>Higher Broughton Community Hub **</t>
  </si>
  <si>
    <t>Former Police Station, Stanwell Road **</t>
  </si>
  <si>
    <t>1 to 16 Knowsley Green</t>
  </si>
  <si>
    <t>Proposed Nelson St Clearance Area and CPO</t>
  </si>
  <si>
    <t>Mariners Footbridge</t>
  </si>
  <si>
    <t>profiled spend received</t>
  </si>
  <si>
    <t>Additional Rail Track incursion works &amp; footway resurfacing Swinton</t>
  </si>
  <si>
    <t>Lightoaks Park Play area</t>
  </si>
  <si>
    <t>Demolition Newcroft High School</t>
  </si>
  <si>
    <t>C00059 7015</t>
  </si>
  <si>
    <t>C00059 7027</t>
  </si>
  <si>
    <t>c00063</t>
  </si>
  <si>
    <t>C99999 7015</t>
  </si>
  <si>
    <t>C00070</t>
  </si>
  <si>
    <t>C00064</t>
  </si>
  <si>
    <t>C00067</t>
  </si>
  <si>
    <t>C99999 7027</t>
  </si>
  <si>
    <t>C99999 7017</t>
  </si>
  <si>
    <t>Public sector housing SB adjustment</t>
  </si>
  <si>
    <t>WATES</t>
  </si>
  <si>
    <t>SALFORD NORTH</t>
  </si>
  <si>
    <t>H50818</t>
  </si>
  <si>
    <t>ALBION STADIUM - Heating/Elec Upgrade/Kit/Bath</t>
  </si>
  <si>
    <t>H50819</t>
  </si>
  <si>
    <t>RACECOURSE - Prior to Paint</t>
  </si>
  <si>
    <t>ECCLES</t>
  </si>
  <si>
    <t>H50969</t>
  </si>
  <si>
    <t>FAIRHILLS ROAD - Heating &amp; Rewire</t>
  </si>
  <si>
    <t>H50970</t>
  </si>
  <si>
    <t>FALMOUTH ROAD - Heating &amp; Rewire</t>
  </si>
  <si>
    <t>H50971</t>
  </si>
  <si>
    <t>SANDIWAY - Heating</t>
  </si>
  <si>
    <t>H50972</t>
  </si>
  <si>
    <t>DE TRAFFORDS/MOORFIELD - Heating &amp; Rewire</t>
  </si>
  <si>
    <t>H50973</t>
  </si>
  <si>
    <t>THE DE TRAFFORDS - Heating &amp; Rewire</t>
  </si>
  <si>
    <t>H50974</t>
  </si>
  <si>
    <t>1-12 St GEORGES COURT - Re-roof &amp; Walkway</t>
  </si>
  <si>
    <t>SWINTON</t>
  </si>
  <si>
    <t>H50881</t>
  </si>
  <si>
    <t>MANCHESTER ROAD SOUTH - Re-roof &amp; Balcony Resurface</t>
  </si>
  <si>
    <t>H50882</t>
  </si>
  <si>
    <t>WATSON STREET - Elec Upgrade</t>
  </si>
  <si>
    <t>WHITES</t>
  </si>
  <si>
    <t>H50883</t>
  </si>
  <si>
    <t>THE VALLEY - Kitchen &amp; Elec Upgrade</t>
  </si>
  <si>
    <t>SALFORD SOUTH</t>
  </si>
  <si>
    <t>H50721</t>
  </si>
  <si>
    <t>SOUTH ORDSALL - Heating/Elec Upgrade/Kit/Bath</t>
  </si>
  <si>
    <t>BRAMALL</t>
  </si>
  <si>
    <t>H50884</t>
  </si>
  <si>
    <t>CORONATION STREET - Elec Upgrade/Kit/Bath/Heating</t>
  </si>
  <si>
    <t>H50885</t>
  </si>
  <si>
    <t>NEWTOWN - Heating/Elec Upgrade</t>
  </si>
  <si>
    <t>H50886</t>
  </si>
  <si>
    <t>HAMILTON STREET - Elec Upgrade/Heating/Bath/Kit</t>
  </si>
  <si>
    <t>H50722</t>
  </si>
  <si>
    <t>PARK ROAD - Heating &amp; Elec Upgrade</t>
  </si>
  <si>
    <t>H50723</t>
  </si>
  <si>
    <t>St. GEORGES CRESCENT - Heating &amp; Elec Upgrade</t>
  </si>
  <si>
    <t>NEW PROSPECT</t>
  </si>
  <si>
    <t>H50975</t>
  </si>
  <si>
    <t>CANTERBURY GARDENS - Stairwell Refurb.</t>
  </si>
  <si>
    <t>WORSLEY</t>
  </si>
  <si>
    <t>H50922</t>
  </si>
  <si>
    <t>HILLTOP/NINIAN GDNS - Prior to Paint</t>
  </si>
  <si>
    <t>H50923</t>
  </si>
  <si>
    <t>GROSVENOR ROAD - Heating &amp; Elec Upgrade</t>
  </si>
  <si>
    <t>H50924</t>
  </si>
  <si>
    <t>WHARTON - Prior to Paint</t>
  </si>
  <si>
    <t>H50887</t>
  </si>
  <si>
    <t>SWINTON HALL ROAD - Heating/Elec Upgrade/Bath</t>
  </si>
  <si>
    <t>H50724</t>
  </si>
  <si>
    <t>MEADOWGATE - Heating/Elec Upgrade/Re-roof</t>
  </si>
  <si>
    <t>THORN COURT - Soil Stack Replacement</t>
  </si>
  <si>
    <t>H50667</t>
  </si>
  <si>
    <t>ENERGY EFFICIENCY SURVEYS</t>
  </si>
  <si>
    <t>H50968</t>
  </si>
  <si>
    <t>INSULATION - Eccles</t>
  </si>
  <si>
    <t>H51206</t>
  </si>
  <si>
    <t>INSULATION - Salford Nth</t>
  </si>
  <si>
    <t>H50574</t>
  </si>
  <si>
    <t>INSULATION - Salford Sth</t>
  </si>
  <si>
    <t>H50880</t>
  </si>
  <si>
    <t>INSULATION - Swinton</t>
  </si>
  <si>
    <t>H50921</t>
  </si>
  <si>
    <t>INSULATION - Worsley/LittleHulton</t>
  </si>
  <si>
    <t>HIGHRISE STRUCTURAL REPAIRS AND SURVEYS</t>
  </si>
  <si>
    <t>AD HOC WORKS FROM SMALL SCALE STOCK OPTIONS</t>
  </si>
  <si>
    <t>HIGHRISE/ADHOC MAINTENANCE</t>
  </si>
  <si>
    <t>BARONFOLD/THORNFIELD GROVE</t>
  </si>
  <si>
    <t>POLLUTION/DRAINAGE CITYWIDE</t>
  </si>
  <si>
    <t>H50707</t>
  </si>
  <si>
    <t>STRUCTURAL-SPRUCE</t>
  </si>
  <si>
    <t>H50805</t>
  </si>
  <si>
    <t>LIFTS-NEWBANK / RIVERBANK</t>
  </si>
  <si>
    <t>H50665</t>
  </si>
  <si>
    <t>SHELTERED HOMES -EXTRA CARE WORK (Funded)</t>
  </si>
  <si>
    <t>SHELTERED HOMES -EXTRA CARE WORK (Additional Works)</t>
  </si>
  <si>
    <t>H50664</t>
  </si>
  <si>
    <t>AREA OFFICE DISABLED ADAPTATIONS</t>
  </si>
  <si>
    <t>H50816</t>
  </si>
  <si>
    <t>MULTI STOREY SATELLITE TV</t>
  </si>
  <si>
    <t>H50720</t>
  </si>
  <si>
    <t>COMMUNAL TV AERIALS - PRECINCT</t>
  </si>
  <si>
    <t>H50967</t>
  </si>
  <si>
    <t>COMMUNAL TV AERIALS - ECCLES</t>
  </si>
  <si>
    <t>H50662</t>
  </si>
  <si>
    <t>REFURB  OF ACQUIREDS</t>
  </si>
  <si>
    <t>H50663</t>
  </si>
  <si>
    <t>STRUCTURAL REPAIRS-AD HOC</t>
  </si>
  <si>
    <t>SECURITY</t>
  </si>
  <si>
    <t>H50660</t>
  </si>
  <si>
    <t>TURNPIKE OFFICE ALTERATIONS</t>
  </si>
  <si>
    <t>h50870</t>
  </si>
  <si>
    <t>RIGHT TO BUY REAQUISITION</t>
  </si>
  <si>
    <t>H50661</t>
  </si>
  <si>
    <t>CITYWIDE SURVEYS</t>
  </si>
  <si>
    <t xml:space="preserve">SOLAR ELECTRICITY PLAN </t>
  </si>
  <si>
    <t>PRE PARTNERING</t>
  </si>
  <si>
    <t>WARDLEY PARTIAL REWIRE</t>
  </si>
  <si>
    <t>H50871</t>
  </si>
  <si>
    <t>TEMPLE DRIVE ELECTRICAL UPGRADE</t>
  </si>
  <si>
    <t>H51111</t>
  </si>
  <si>
    <t>DUDLEY RD HEATING</t>
  </si>
  <si>
    <t>H51110</t>
  </si>
  <si>
    <t>MEADOWS HEATING</t>
  </si>
  <si>
    <t>H51109</t>
  </si>
  <si>
    <t>BAINES AVE ROOFING</t>
  </si>
  <si>
    <t>CROSSFIELDS ROOFING</t>
  </si>
  <si>
    <t>WARREN ST ROOFING</t>
  </si>
  <si>
    <t>MITCHELL ST REWIRE/KITCHENS</t>
  </si>
  <si>
    <t>PEEL GREEN RD REWIRE,KITCHEN/BATH</t>
  </si>
  <si>
    <t>PARTNERING</t>
  </si>
  <si>
    <t>H50912</t>
  </si>
  <si>
    <t>WORSLEY PACKAGE 1</t>
  </si>
  <si>
    <t>H50959</t>
  </si>
  <si>
    <t>ECCLES PACKAGE 1</t>
  </si>
  <si>
    <t>H50960</t>
  </si>
  <si>
    <t>ECCLES PACKAGE 2</t>
  </si>
  <si>
    <t>H50961</t>
  </si>
  <si>
    <t>ECCLES PACKAGE 3</t>
  </si>
  <si>
    <t>H50962</t>
  </si>
  <si>
    <t>ECCLES PACKAGE 4</t>
  </si>
  <si>
    <t>H50872</t>
  </si>
  <si>
    <t>SWINTON PACKAGE 1</t>
  </si>
  <si>
    <t>H50873</t>
  </si>
  <si>
    <t>SWINTON PACKAGE 2</t>
  </si>
  <si>
    <t>H50874</t>
  </si>
  <si>
    <t>SWINTON PACKAGE 3</t>
  </si>
  <si>
    <t>H50713</t>
  </si>
  <si>
    <t>SALFORD SOUTH PACKAGE 1</t>
  </si>
  <si>
    <t>H50714</t>
  </si>
  <si>
    <t>SALFORD SOUTH PACKAGE 2</t>
  </si>
  <si>
    <t>H50715</t>
  </si>
  <si>
    <t>SALFORD SOUTH PACKAGE 3</t>
  </si>
  <si>
    <t>H50817</t>
  </si>
  <si>
    <t>SALFORD NORTH PACKAGE 1</t>
  </si>
  <si>
    <t>H53223</t>
  </si>
  <si>
    <t>PPR PACKAGE 1</t>
  </si>
  <si>
    <t>ROLLING PROGRAMMES</t>
  </si>
  <si>
    <t>H50001</t>
  </si>
  <si>
    <t>2004/5 D.F.G.s</t>
  </si>
  <si>
    <t>H50001A</t>
  </si>
  <si>
    <t>D.F.G.s in future years</t>
  </si>
  <si>
    <t>H50643A</t>
  </si>
  <si>
    <t>CAPITALISED SALARIES (DPU/CT)</t>
  </si>
  <si>
    <t>H50643</t>
  </si>
  <si>
    <t>ADVANCE FEES</t>
  </si>
  <si>
    <t>H54001</t>
  </si>
  <si>
    <t>2004/5 BURGLARY REDUCTION INITIATIVE</t>
  </si>
  <si>
    <t>2005/6 NEW STARTS (DSD SCHEMES)</t>
  </si>
  <si>
    <t>H50253</t>
  </si>
  <si>
    <t>PEEL PH 5 ENVIRONMENT</t>
  </si>
  <si>
    <t>2002/3 NEW STARTS (DSD SCHEMES)</t>
  </si>
  <si>
    <t>H50250</t>
  </si>
  <si>
    <t>PEEL PH 4 ENVIRONMENT</t>
  </si>
  <si>
    <t>H50270</t>
  </si>
  <si>
    <t>ARMITAGE PH 3 ENVIRONMENT</t>
  </si>
  <si>
    <t>H50249</t>
  </si>
  <si>
    <t>MOUNT SKIP PH 2 ENVIRONMENT</t>
  </si>
  <si>
    <t>H51202</t>
  </si>
  <si>
    <t>ROCKLEY GARDENS</t>
  </si>
  <si>
    <t>2001/2 NEW STARTS (DSD SCHEMES)</t>
  </si>
  <si>
    <t>H50485</t>
  </si>
  <si>
    <t>FLORAL COURT CAR PARK</t>
  </si>
  <si>
    <t>H50625</t>
  </si>
  <si>
    <t>BIRCH RD / OLD CLOUGH ENV'T</t>
  </si>
  <si>
    <t>H50610</t>
  </si>
  <si>
    <t>ADMIRALTY ENVIRONMENT</t>
  </si>
  <si>
    <t>H50519</t>
  </si>
  <si>
    <t>PHILIP ST PHASE 2 SECURITY</t>
  </si>
  <si>
    <t>H50486</t>
  </si>
  <si>
    <t>GREENGATE CAR PARKING</t>
  </si>
  <si>
    <t>H50297</t>
  </si>
  <si>
    <t>JENNINGS / TAMWORTH / WESLEY</t>
  </si>
  <si>
    <t>H50565</t>
  </si>
  <si>
    <t>TOOTAL DRIVE PH 3 ENVIRONMENT</t>
  </si>
  <si>
    <t>H50593</t>
  </si>
  <si>
    <t>CASTLEWAY PH 1 ENVIRONMENT</t>
  </si>
  <si>
    <t>H50595</t>
  </si>
  <si>
    <t>VALLEY  PH 2 ENVIRONMENT</t>
  </si>
  <si>
    <t>H50269</t>
  </si>
  <si>
    <t>ARMITAGE PH 2 ENVIRONMENT</t>
  </si>
  <si>
    <t>H50246</t>
  </si>
  <si>
    <t>PEEL PH 3 ENVIRONMENT</t>
  </si>
  <si>
    <t>H50804</t>
  </si>
  <si>
    <t>MELBOURNE ST ENVIRONMENT</t>
  </si>
  <si>
    <t>Order Code</t>
  </si>
  <si>
    <t>H50963</t>
  </si>
  <si>
    <t>PACKAGE 1</t>
  </si>
  <si>
    <t>H50964</t>
  </si>
  <si>
    <t>PACKAGE 2</t>
  </si>
  <si>
    <t>H50965</t>
  </si>
  <si>
    <t>PACKAGE 3</t>
  </si>
  <si>
    <t>H50966</t>
  </si>
  <si>
    <t>PACKAGE 4</t>
  </si>
  <si>
    <t>H50716</t>
  </si>
  <si>
    <t>PACKAGE 5</t>
  </si>
  <si>
    <t>H50717</t>
  </si>
  <si>
    <t>PACKAGE 6</t>
  </si>
  <si>
    <t>H50718</t>
  </si>
  <si>
    <t>PACKAGE 7</t>
  </si>
  <si>
    <t>H50719</t>
  </si>
  <si>
    <t>PACKAGE 8</t>
  </si>
  <si>
    <t>H51203</t>
  </si>
  <si>
    <t>PACKAGE 9</t>
  </si>
  <si>
    <t>H51204</t>
  </si>
  <si>
    <t>PACKAGE 10</t>
  </si>
  <si>
    <t>H51205</t>
  </si>
  <si>
    <t>PACKAGE 11</t>
  </si>
  <si>
    <t>H50875</t>
  </si>
  <si>
    <t>PACKAGE 12</t>
  </si>
  <si>
    <t>H50876</t>
  </si>
  <si>
    <t>PACKAGE 13</t>
  </si>
  <si>
    <t>H50877</t>
  </si>
  <si>
    <t>PACKAGE 14</t>
  </si>
  <si>
    <t>H50878</t>
  </si>
  <si>
    <t>PACKAGE 15</t>
  </si>
  <si>
    <t>H50879</t>
  </si>
  <si>
    <t>PACKAGE 16</t>
  </si>
  <si>
    <t>H50916</t>
  </si>
  <si>
    <t>PACKAGE 17</t>
  </si>
  <si>
    <t>H50917</t>
  </si>
  <si>
    <t>PACKAGE 18</t>
  </si>
  <si>
    <t>H50913</t>
  </si>
  <si>
    <t>PACKAGE 19</t>
  </si>
  <si>
    <t>H50914</t>
  </si>
  <si>
    <t>PACKAGE 20</t>
  </si>
  <si>
    <t>H50915</t>
  </si>
  <si>
    <t>PACKAGE 21</t>
  </si>
  <si>
    <t>H50918</t>
  </si>
  <si>
    <t>PACKAGE 22</t>
  </si>
  <si>
    <t>H50919</t>
  </si>
  <si>
    <t>PACKAGE 23</t>
  </si>
  <si>
    <t>H50659</t>
  </si>
  <si>
    <t>CITYWIDE INSULATION</t>
  </si>
  <si>
    <t>DECENT HOMES PROGRAMME</t>
  </si>
  <si>
    <t>h50710</t>
  </si>
  <si>
    <t>Thorn Court Partnering scheme</t>
  </si>
  <si>
    <t>h50868</t>
  </si>
  <si>
    <t>Ash Drive</t>
  </si>
  <si>
    <t>h50641 d</t>
  </si>
  <si>
    <t>h50641 f</t>
  </si>
  <si>
    <t>Jackson St</t>
  </si>
  <si>
    <t>h50812</t>
  </si>
  <si>
    <t>Racecourse ph 1/2</t>
  </si>
  <si>
    <t>h50954</t>
  </si>
  <si>
    <t>Fairhope</t>
  </si>
  <si>
    <t>h51107</t>
  </si>
  <si>
    <t>Higher Irlam ph 4</t>
  </si>
  <si>
    <t>h50869</t>
  </si>
  <si>
    <t xml:space="preserve">Pendleway </t>
  </si>
  <si>
    <t>h50711</t>
  </si>
  <si>
    <t>Kinder</t>
  </si>
  <si>
    <t>h50957</t>
  </si>
  <si>
    <t>Hereford  rd/Salisbury rd</t>
  </si>
  <si>
    <t>h50908</t>
  </si>
  <si>
    <t>St Georges Ct/Peel Pk Cres</t>
  </si>
  <si>
    <t>h50955</t>
  </si>
  <si>
    <t>De Traffords</t>
  </si>
  <si>
    <t>PROGRAMMED WORKS-BUILDINGS</t>
  </si>
  <si>
    <t>h50652</t>
  </si>
  <si>
    <t>structural repairs</t>
  </si>
  <si>
    <t>h50653</t>
  </si>
  <si>
    <t>concrete floors</t>
  </si>
  <si>
    <t>h50654</t>
  </si>
  <si>
    <t>solid fuel heating</t>
  </si>
  <si>
    <t>h51106</t>
  </si>
  <si>
    <t xml:space="preserve">Admiralty / LHDC </t>
  </si>
  <si>
    <t>h50956</t>
  </si>
  <si>
    <t>Peel Green</t>
  </si>
  <si>
    <t>h50910</t>
  </si>
  <si>
    <t>Eccles/L Hulton</t>
  </si>
  <si>
    <t>h50867</t>
  </si>
  <si>
    <t>Green Avenue ,Swinton</t>
  </si>
  <si>
    <t>PROGRAMMED WORKS-SERVICES</t>
  </si>
  <si>
    <t>h50814</t>
  </si>
  <si>
    <t>Greyfriars Court</t>
  </si>
  <si>
    <t>h50815</t>
  </si>
  <si>
    <t>Black/Whitefriars</t>
  </si>
  <si>
    <t>h50712</t>
  </si>
  <si>
    <t>Apple/Pear/Peach</t>
  </si>
  <si>
    <t>h50709</t>
  </si>
  <si>
    <t xml:space="preserve">Lombardy Court </t>
  </si>
  <si>
    <t>PROGRAMMED WORKS-OTHER</t>
  </si>
  <si>
    <t>h51105</t>
  </si>
  <si>
    <t>elderly adaptations</t>
  </si>
  <si>
    <t>h50813</t>
  </si>
  <si>
    <t>salford north office improvements</t>
  </si>
  <si>
    <t>2002/3 NEW STARTS</t>
  </si>
  <si>
    <t>H54101</t>
  </si>
  <si>
    <t>DISTRICT HEATING-LONDON ST / LISSADEL ST</t>
  </si>
  <si>
    <t>2003/4 NEW STARTS</t>
  </si>
  <si>
    <t>WHIT LANE  / LITTLETON RD</t>
  </si>
  <si>
    <t>h50550</t>
  </si>
  <si>
    <t>LITTLETON RD WATER PIPES</t>
  </si>
  <si>
    <t>H54104</t>
  </si>
  <si>
    <t>LITTLETON RD INTERNALS</t>
  </si>
  <si>
    <t>H54105</t>
  </si>
  <si>
    <t>WHIT LANE INTERNALS</t>
  </si>
  <si>
    <t>H54106</t>
  </si>
  <si>
    <t>LITTLETON RD EXTERNALS</t>
  </si>
  <si>
    <t>H54107</t>
  </si>
  <si>
    <t>WHIT LANE EXTERNALS</t>
  </si>
  <si>
    <t xml:space="preserve">S.R.B. 2 </t>
  </si>
  <si>
    <t>H50103</t>
  </si>
  <si>
    <t>LOWER BROUGHTON  ENV'L  PH 1</t>
  </si>
  <si>
    <t>H50122</t>
  </si>
  <si>
    <t>LOWER BROUGHTON  ENV'L  PH 2</t>
  </si>
  <si>
    <t>H50124</t>
  </si>
  <si>
    <t>LOWER BROUGHTON  ENV'L  PH 3A/4A</t>
  </si>
  <si>
    <t>H50123</t>
  </si>
  <si>
    <t>LOWER BROUGHTON  ENV'L  PH 3</t>
  </si>
  <si>
    <t>H50125</t>
  </si>
  <si>
    <t>LOWER BROUGHTON  ENV'L  PH 4</t>
  </si>
  <si>
    <t>H50126</t>
  </si>
  <si>
    <t>LOWER BROUGHTON TEMP. TREATM'T PH 2</t>
  </si>
  <si>
    <t>SPIKE ISLAND</t>
  </si>
  <si>
    <t>H50183</t>
  </si>
  <si>
    <t>SPIKE ISLAND-PTP PH 1</t>
  </si>
  <si>
    <t>H50185</t>
  </si>
  <si>
    <t xml:space="preserve">          DISTRICT HEATING  PH 1/2</t>
  </si>
  <si>
    <t>H50186</t>
  </si>
  <si>
    <t xml:space="preserve"> ENVIRONMENT  PH 1</t>
  </si>
  <si>
    <t>H50187</t>
  </si>
  <si>
    <t xml:space="preserve">     ENVIRONMENT  PH 2</t>
  </si>
  <si>
    <t>H50188</t>
  </si>
  <si>
    <t xml:space="preserve">     ENVIRONMENT  PH 3</t>
  </si>
  <si>
    <t>H50189</t>
  </si>
  <si>
    <t xml:space="preserve">                            ENVIRONMENT  PH 4</t>
  </si>
  <si>
    <t>H50190</t>
  </si>
  <si>
    <t xml:space="preserve">                            ENVIRONMENT  PH 5</t>
  </si>
  <si>
    <t>H50191</t>
  </si>
  <si>
    <t xml:space="preserve">                            ENVIRONMENT  PH 6</t>
  </si>
  <si>
    <t>H50192</t>
  </si>
  <si>
    <t xml:space="preserve">                            ENVIRONMENT  PH 7</t>
  </si>
  <si>
    <t>H53001</t>
  </si>
  <si>
    <t>COMMITMENTS</t>
  </si>
  <si>
    <t>H53178</t>
  </si>
  <si>
    <t>ALDER PARK</t>
  </si>
  <si>
    <t>H53179</t>
  </si>
  <si>
    <t xml:space="preserve">FALCON CRES </t>
  </si>
  <si>
    <t>H53188</t>
  </si>
  <si>
    <t>LANCASTER RD</t>
  </si>
  <si>
    <t>H53189</t>
  </si>
  <si>
    <t>BROOKHOUSE PH 1</t>
  </si>
  <si>
    <t>H53192</t>
  </si>
  <si>
    <t>BROOKHOUSE PH 2</t>
  </si>
  <si>
    <t>H53193</t>
  </si>
  <si>
    <t xml:space="preserve">TOOTAL DR PH 1ACKWORTH RD/TEMPLE DR </t>
  </si>
  <si>
    <t>H53194</t>
  </si>
  <si>
    <t xml:space="preserve"> TOOTAL DR PH 2 / VICTORY RD</t>
  </si>
  <si>
    <t>H53200</t>
  </si>
  <si>
    <t>ADVANCE FEES / SURVEYS</t>
  </si>
  <si>
    <t>H53203</t>
  </si>
  <si>
    <t>CLOUGHFIELD</t>
  </si>
  <si>
    <t>H53204</t>
  </si>
  <si>
    <t>HOSPITAL ROAD</t>
  </si>
  <si>
    <t>H53205</t>
  </si>
  <si>
    <t>NEW ISLINGTON</t>
  </si>
  <si>
    <t>H53206</t>
  </si>
  <si>
    <t>MOSSFIELD RD</t>
  </si>
  <si>
    <t>H53208</t>
  </si>
  <si>
    <t>WARDLEY</t>
  </si>
  <si>
    <t>H53209</t>
  </si>
  <si>
    <t>BROOKHOUSE PH 3</t>
  </si>
  <si>
    <t>H53210</t>
  </si>
  <si>
    <t>CASTLEWAY</t>
  </si>
  <si>
    <t>H53212</t>
  </si>
  <si>
    <t>GROSVENOR ph 1</t>
  </si>
  <si>
    <t>H53214</t>
  </si>
  <si>
    <t>LANE END</t>
  </si>
  <si>
    <t>H53215</t>
  </si>
  <si>
    <t>CAWDOR ST</t>
  </si>
  <si>
    <t>H53216</t>
  </si>
  <si>
    <t>BRENTWOOD</t>
  </si>
  <si>
    <t>H53217</t>
  </si>
  <si>
    <t>DUCHY PH 1</t>
  </si>
  <si>
    <t>H53218</t>
  </si>
  <si>
    <t>DUCHY PH 2</t>
  </si>
  <si>
    <t>H53219</t>
  </si>
  <si>
    <t>HILL TOP PH 1</t>
  </si>
  <si>
    <t>H53220</t>
  </si>
  <si>
    <t>HILL TOP PH 2/3</t>
  </si>
  <si>
    <t>2004/5 new start allocation</t>
  </si>
  <si>
    <t>h52001 a</t>
  </si>
  <si>
    <t>Available for new starts</t>
  </si>
  <si>
    <t>h52009</t>
  </si>
  <si>
    <t>Hanover Court</t>
  </si>
  <si>
    <t>h52024</t>
  </si>
  <si>
    <t>Florence St</t>
  </si>
  <si>
    <t>h52018</t>
  </si>
  <si>
    <t>Kestrel Avenue</t>
  </si>
  <si>
    <t>h52019</t>
  </si>
  <si>
    <t>Wheatersfield</t>
  </si>
  <si>
    <t>H52006</t>
  </si>
  <si>
    <t xml:space="preserve">Little Hulton Cottage Flats </t>
  </si>
  <si>
    <t>H52003</t>
  </si>
  <si>
    <t xml:space="preserve">Poets Corner </t>
  </si>
  <si>
    <t>h52008</t>
  </si>
  <si>
    <t>Ladywell Avenue</t>
  </si>
  <si>
    <t>h52028</t>
  </si>
  <si>
    <t>Cedar Place</t>
  </si>
  <si>
    <t>H52029</t>
  </si>
  <si>
    <t>Aspinall Drive</t>
  </si>
  <si>
    <t>H52011</t>
  </si>
  <si>
    <t>Kingsley/Granville</t>
  </si>
  <si>
    <t>H52012</t>
  </si>
  <si>
    <t>Wheaters/Jessamine</t>
  </si>
  <si>
    <t>Schemes funded from previous</t>
  </si>
  <si>
    <t>years allocations</t>
  </si>
  <si>
    <t>h52023</t>
  </si>
  <si>
    <t xml:space="preserve">Lime Court </t>
  </si>
  <si>
    <t>h52025</t>
  </si>
  <si>
    <t>Meadowside</t>
  </si>
  <si>
    <t>h52026</t>
  </si>
  <si>
    <t>Hulton Ave launderette</t>
  </si>
  <si>
    <t>h52027</t>
  </si>
  <si>
    <t>Windsor Avenue</t>
  </si>
  <si>
    <t>h52020</t>
  </si>
  <si>
    <t>Shakespeare Rd / Blantyre St</t>
  </si>
  <si>
    <t>H51002</t>
  </si>
  <si>
    <t>Birley Court</t>
  </si>
  <si>
    <t>H52010</t>
  </si>
  <si>
    <t>Duchy Bank</t>
  </si>
  <si>
    <t>H51001</t>
  </si>
  <si>
    <t>Ruthin Court</t>
  </si>
  <si>
    <t>RETENTIONS / BALANCES</t>
  </si>
  <si>
    <t>OLD SCHEMES</t>
  </si>
  <si>
    <t>H50624</t>
  </si>
  <si>
    <t>ENERGY EFF.LEAD PIPES</t>
  </si>
  <si>
    <t>H50482</t>
  </si>
  <si>
    <t>HIGH RISE PROG       -CANON GREEN</t>
  </si>
  <si>
    <t>H50504</t>
  </si>
  <si>
    <t>BEECH ST ENVIRONMENT PH 1</t>
  </si>
  <si>
    <t>2000/1 NEW STARTS (DSD)</t>
  </si>
  <si>
    <t>H50562</t>
  </si>
  <si>
    <t>TOOTAL DRIVE PHASE 2</t>
  </si>
  <si>
    <t>H50564</t>
  </si>
  <si>
    <t>MEADOWGATE</t>
  </si>
  <si>
    <t>H50584</t>
  </si>
  <si>
    <t>VALLEY ENVIRONMENT PH 1</t>
  </si>
  <si>
    <t>H50585</t>
  </si>
  <si>
    <t>CLIVELEY ENVIRONMENT PH 1</t>
  </si>
  <si>
    <t>H50295</t>
  </si>
  <si>
    <t>GOODIERS DRIVE HIGHWAY WORKS</t>
  </si>
  <si>
    <t>2001/2  NEW STARTS (HPMS)</t>
  </si>
  <si>
    <t>H50702</t>
  </si>
  <si>
    <t>STRUCTURAL REPAIRS-THORN COURT</t>
  </si>
  <si>
    <t>H50534</t>
  </si>
  <si>
    <t xml:space="preserve">SECURITY-ARGOSY/BEECH/MITCH/SCOTCH </t>
  </si>
  <si>
    <t>H50706</t>
  </si>
  <si>
    <t>SECURITY-WROTHAM  CLOSE</t>
  </si>
  <si>
    <t>H50705</t>
  </si>
  <si>
    <t xml:space="preserve">SECURITY-ALBION / SPRUCE </t>
  </si>
  <si>
    <t>H50636</t>
  </si>
  <si>
    <t>SOLID FUEL - WORSLEY</t>
  </si>
  <si>
    <t xml:space="preserve"> 2002/3 NEW STARTS (HPMS-SERVICES)</t>
  </si>
  <si>
    <t>H50559</t>
  </si>
  <si>
    <t>SECURITY-HERALDIC</t>
  </si>
  <si>
    <t>H50857</t>
  </si>
  <si>
    <t>HEATING/REWIRES-WYNDHAM</t>
  </si>
  <si>
    <t>H50860</t>
  </si>
  <si>
    <t>HEATING/REWIRES-DEANS COURT</t>
  </si>
  <si>
    <t>H51104</t>
  </si>
  <si>
    <t>GAS HEATING-MOSS VALE PH 1</t>
  </si>
  <si>
    <t>H50864</t>
  </si>
  <si>
    <t>GAS HEATING-BEEHIVE</t>
  </si>
  <si>
    <t>H50572</t>
  </si>
  <si>
    <t>GAS HEATING-LANCASTER RD</t>
  </si>
  <si>
    <t>H50810</t>
  </si>
  <si>
    <t>GAS HEATING-L BROUGHTON RD</t>
  </si>
  <si>
    <t>H50811</t>
  </si>
  <si>
    <t>HEATING BOILER-ALEX GARDENS</t>
  </si>
  <si>
    <t>h50809</t>
  </si>
  <si>
    <t>SECURITY-STONEY  KNOLL/GLOVERFIELD</t>
  </si>
  <si>
    <t>h50540</t>
  </si>
  <si>
    <t>SECURITY-SOUTH KING STREET</t>
  </si>
  <si>
    <t>H50288</t>
  </si>
  <si>
    <t>SECURITY OF OPEN SPACES</t>
  </si>
  <si>
    <t xml:space="preserve">  2002/3 NEW STARTS (HPMS-BUILDING)</t>
  </si>
  <si>
    <t>H50570</t>
  </si>
  <si>
    <t xml:space="preserve">WALKWAYS-SEEDLEY TERRACE/AILSA </t>
  </si>
  <si>
    <t>H50807</t>
  </si>
  <si>
    <t>KITCHENS-L BROUGHTON PH 1/TOOTAL PH 1</t>
  </si>
  <si>
    <t>H50620</t>
  </si>
  <si>
    <t>INTERNALS-ADMIRALTY</t>
  </si>
  <si>
    <t>H50571</t>
  </si>
  <si>
    <t>INTERNALS-MEADOWGATE</t>
  </si>
  <si>
    <t>H50859</t>
  </si>
  <si>
    <t>INTERNALS-CLIVELEY</t>
  </si>
  <si>
    <t>H50904</t>
  </si>
  <si>
    <t>INTERNALS-AMBLECOTE</t>
  </si>
  <si>
    <t xml:space="preserve">    EA SCHEMES</t>
  </si>
  <si>
    <t>H50402</t>
  </si>
  <si>
    <t>AMERSHAM ST PHASE 1</t>
  </si>
  <si>
    <t>H50488</t>
  </si>
  <si>
    <t>ALBION TOWERS</t>
  </si>
  <si>
    <t>H50422</t>
  </si>
  <si>
    <t>FITZWARREN COURT REFURBISHMENT</t>
  </si>
  <si>
    <t>H50285</t>
  </si>
  <si>
    <t>ORDSALL-LINDEN GR PH 3(NWO PH 2)</t>
  </si>
  <si>
    <t>H50287</t>
  </si>
  <si>
    <t xml:space="preserve"> ORDSALL-BURNETT (NWO PH 3)</t>
  </si>
  <si>
    <t xml:space="preserve">   SRB /CC SCHEMES</t>
  </si>
  <si>
    <t>H50083</t>
  </si>
  <si>
    <t>BROADWALK WEST PHASE 2</t>
  </si>
  <si>
    <t>H50223</t>
  </si>
  <si>
    <t>PEEL ENVIRONMENT PH 2</t>
  </si>
  <si>
    <t>H50230</t>
  </si>
  <si>
    <t>AMBLECOTE ENVIRONMENT</t>
  </si>
  <si>
    <t>H50228</t>
  </si>
  <si>
    <t>MT SKIP ENVIRONMENT</t>
  </si>
  <si>
    <t>H50251</t>
  </si>
  <si>
    <t>PEEL HOMES FOR ALL</t>
  </si>
  <si>
    <t>H50263</t>
  </si>
  <si>
    <t>ARMITAGE  ENVIRONMENT PH 1</t>
  </si>
  <si>
    <t>2005/06 New Starts - Partners</t>
  </si>
  <si>
    <t>2005/06 New Starts Citywide</t>
  </si>
  <si>
    <t>2004/05 New Starts</t>
  </si>
  <si>
    <t>2004/05 Insulation Schemes</t>
  </si>
  <si>
    <t>2003/04 New Starts</t>
  </si>
  <si>
    <t>SRB/Estate Action/ CC Schemes 1</t>
  </si>
  <si>
    <t>PPR Programme</t>
  </si>
  <si>
    <t>Page 11</t>
  </si>
  <si>
    <t>Demolitions</t>
  </si>
  <si>
    <t>Page 12</t>
  </si>
  <si>
    <t>Retentions/Balances</t>
  </si>
  <si>
    <t>Page 13</t>
  </si>
  <si>
    <t>New Deal - Kersal/Charlestown</t>
  </si>
  <si>
    <t>C00060 and</t>
  </si>
  <si>
    <t>Schools networking lease</t>
  </si>
  <si>
    <t>C00054</t>
  </si>
  <si>
    <t>F00022</t>
  </si>
  <si>
    <t>F00032</t>
  </si>
  <si>
    <t>F00018</t>
  </si>
  <si>
    <t>F00007</t>
  </si>
  <si>
    <t>F00023</t>
  </si>
  <si>
    <t>F00014</t>
  </si>
  <si>
    <t>Princes Park NOF</t>
  </si>
  <si>
    <t>F00008</t>
  </si>
  <si>
    <t>Pendleton Church Area Study</t>
  </si>
  <si>
    <t>Disposal Buille Hill</t>
  </si>
  <si>
    <t>Disposal PCL/Chapel Street</t>
  </si>
  <si>
    <t>Demolition New Croft</t>
  </si>
  <si>
    <t>Demolition Ordsall District Centre</t>
  </si>
  <si>
    <t>Disposal Chapel Wharf</t>
  </si>
  <si>
    <t>Land Adjacent to Duchy Inn</t>
  </si>
  <si>
    <t>Adelphi St and Meadow Road</t>
  </si>
  <si>
    <t>D06110</t>
  </si>
  <si>
    <t>D06116</t>
  </si>
  <si>
    <t>D06118</t>
  </si>
  <si>
    <t>D06122</t>
  </si>
  <si>
    <t>D06123</t>
  </si>
  <si>
    <t>D06126</t>
  </si>
  <si>
    <t>D06127</t>
  </si>
  <si>
    <t>D07014</t>
  </si>
  <si>
    <t>Whittle st footway and kerbing</t>
  </si>
  <si>
    <t>Salford Shopping Food Retail Development</t>
  </si>
  <si>
    <t>d08000</t>
  </si>
  <si>
    <t>d08024</t>
  </si>
  <si>
    <t>d08026</t>
  </si>
  <si>
    <t>d08030</t>
  </si>
  <si>
    <t>d08034</t>
  </si>
  <si>
    <t>d08035</t>
  </si>
  <si>
    <t>d08036</t>
  </si>
  <si>
    <t>d08040</t>
  </si>
  <si>
    <t>d08041</t>
  </si>
  <si>
    <t>d08045</t>
  </si>
  <si>
    <t>d08048</t>
  </si>
  <si>
    <t>d08051</t>
  </si>
  <si>
    <t>d08052</t>
  </si>
  <si>
    <t>d08055</t>
  </si>
  <si>
    <t>d08059</t>
  </si>
  <si>
    <t>d08060</t>
  </si>
  <si>
    <t>d08064</t>
  </si>
  <si>
    <t>d08066</t>
  </si>
  <si>
    <t>d08067</t>
  </si>
  <si>
    <t>Little Hulton Childrens Centres</t>
  </si>
  <si>
    <t>Larkhill Childrens Centres</t>
  </si>
  <si>
    <t>Winton Nursery</t>
  </si>
  <si>
    <t>Barton Moss Neighbourhood Nursery</t>
  </si>
  <si>
    <t>Belvedere</t>
  </si>
  <si>
    <t>Irlam Childrens Centres</t>
  </si>
  <si>
    <t>North Swinton Childrens Centres</t>
  </si>
  <si>
    <t>Apr 05</t>
  </si>
  <si>
    <t>Mar 06</t>
  </si>
  <si>
    <t>Aug 06</t>
  </si>
  <si>
    <t>Feb 04</t>
  </si>
  <si>
    <t>Dec 05</t>
  </si>
  <si>
    <t>Aug 07</t>
  </si>
  <si>
    <t>Apr 01</t>
  </si>
  <si>
    <t>May 04</t>
  </si>
  <si>
    <t>Aug 05</t>
  </si>
  <si>
    <t>June 05</t>
  </si>
  <si>
    <t>may 05</t>
  </si>
  <si>
    <t>sep 05</t>
  </si>
  <si>
    <t>dec 05</t>
  </si>
  <si>
    <t>jul 05</t>
  </si>
  <si>
    <t xml:space="preserve">Chapel st receipts </t>
  </si>
  <si>
    <t>Economic Development</t>
  </si>
  <si>
    <t>Cultural Quarter</t>
  </si>
  <si>
    <t>Public Realm Improvements</t>
  </si>
  <si>
    <t>** Shown as funded by capital receipts, if receipts are unavailable unsupported borrowing will be used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</si>
</sst>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\ ;\(0.000\)"/>
    <numFmt numFmtId="165" formatCode="0.000"/>
    <numFmt numFmtId="166" formatCode="0\ ;\(0\)"/>
    <numFmt numFmtId="167" formatCode="#,##0.000"/>
    <numFmt numFmtId="168" formatCode="0.0"/>
    <numFmt numFmtId="169" formatCode="0.0000"/>
    <numFmt numFmtId="170" formatCode="_-&quot;£&quot;* #,##0.000_-;\-&quot;£&quot;* #,##0.000_-;_-&quot;£&quot;* &quot;-&quot;??_-;_-@_-"/>
    <numFmt numFmtId="171" formatCode="0.00000"/>
    <numFmt numFmtId="172" formatCode="#,##0.00;\(#,##0.00\)"/>
    <numFmt numFmtId="173" formatCode="#,##0.000;\(#,##0.000\)"/>
    <numFmt numFmtId="174" formatCode="#,##0;\(#,##0\)"/>
    <numFmt numFmtId="175" formatCode="#,##0_);[Red]\(#,##0\)"/>
    <numFmt numFmtId="176" formatCode="#,##0\ ;\(#,##0\)"/>
    <numFmt numFmtId="177" formatCode="#,##0.00\ ;[Red]\(#,##0.00\)"/>
    <numFmt numFmtId="178" formatCode="#,##0.00;\(#,##0.000\)"/>
    <numFmt numFmtId="179" formatCode="&quot;£&quot;#,##0"/>
    <numFmt numFmtId="180" formatCode="#,##0.00;\(#,##0.0\)"/>
    <numFmt numFmtId="181" formatCode="#,##0.0;\(#,##0.0\)"/>
    <numFmt numFmtId="182" formatCode="#,##0_);\(#,##0\)"/>
    <numFmt numFmtId="183" formatCode="0_)"/>
    <numFmt numFmtId="184" formatCode="#,##0.00_-;#,##0.00\-;&quot;&quot;"/>
    <numFmt numFmtId="185" formatCode="#,##0.0_-;#,##0.0\-;&quot;&quot;"/>
    <numFmt numFmtId="186" formatCode="#,##0.000_-;#,##0.000\-;&quot;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* #,##0.0_-;\-* #,##0.0_-;_-* &quot;-&quot;??_-;_-@_-"/>
    <numFmt numFmtId="191" formatCode="_-* #,##0.000_-;\-* #,##0.000_-;_-* &quot;-&quot;??_-;_-@_-"/>
    <numFmt numFmtId="192" formatCode="#,##0.0"/>
    <numFmt numFmtId="193" formatCode="#,##0.00_ ;\-#,##0.00\ "/>
    <numFmt numFmtId="194" formatCode="0.0000000"/>
    <numFmt numFmtId="195" formatCode="0.000000"/>
    <numFmt numFmtId="196" formatCode="_-&quot;£&quot;* #,##0.0_-;\-&quot;£&quot;* #,##0.0_-;_-&quot;£&quot;* &quot;-&quot;??_-;_-@_-"/>
    <numFmt numFmtId="197" formatCode="#,##0.000\ ;[Red]\(#,##0.0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5" fontId="0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165" fontId="4" fillId="2" borderId="3" xfId="0" applyNumberFormat="1" applyFont="1" applyFill="1" applyBorder="1" applyAlignment="1">
      <alignment/>
    </xf>
    <xf numFmtId="165" fontId="7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7" fillId="2" borderId="0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5" fontId="8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/>
    </xf>
    <xf numFmtId="165" fontId="1" fillId="0" borderId="5" xfId="0" applyNumberFormat="1" applyFont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1" fillId="2" borderId="7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65" fontId="1" fillId="2" borderId="8" xfId="0" applyNumberFormat="1" applyFont="1" applyFill="1" applyBorder="1" applyAlignment="1">
      <alignment/>
    </xf>
    <xf numFmtId="165" fontId="1" fillId="2" borderId="7" xfId="0" applyNumberFormat="1" applyFont="1" applyFill="1" applyBorder="1" applyAlignment="1">
      <alignment horizontal="left"/>
    </xf>
    <xf numFmtId="165" fontId="1" fillId="2" borderId="9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165" fontId="0" fillId="0" borderId="0" xfId="0" applyNumberFormat="1" applyFont="1" applyBorder="1" applyAlignment="1">
      <alignment/>
    </xf>
    <xf numFmtId="165" fontId="0" fillId="2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2" borderId="5" xfId="0" applyNumberFormat="1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2" borderId="12" xfId="0" applyNumberFormat="1" applyFont="1" applyFill="1" applyBorder="1" applyAlignment="1">
      <alignment/>
    </xf>
    <xf numFmtId="165" fontId="0" fillId="2" borderId="9" xfId="0" applyNumberFormat="1" applyFont="1" applyFill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1" fillId="2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/>
    </xf>
    <xf numFmtId="165" fontId="1" fillId="2" borderId="10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 wrapText="1"/>
    </xf>
    <xf numFmtId="165" fontId="1" fillId="0" borderId="10" xfId="0" applyNumberFormat="1" applyFont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2" borderId="15" xfId="0" applyNumberFormat="1" applyFont="1" applyFill="1" applyBorder="1" applyAlignment="1">
      <alignment/>
    </xf>
    <xf numFmtId="165" fontId="0" fillId="2" borderId="16" xfId="0" applyNumberFormat="1" applyFont="1" applyFill="1" applyBorder="1" applyAlignment="1">
      <alignment/>
    </xf>
    <xf numFmtId="165" fontId="1" fillId="2" borderId="16" xfId="0" applyNumberFormat="1" applyFont="1" applyFill="1" applyBorder="1" applyAlignment="1">
      <alignment/>
    </xf>
    <xf numFmtId="165" fontId="0" fillId="2" borderId="17" xfId="0" applyNumberFormat="1" applyFont="1" applyFill="1" applyBorder="1" applyAlignment="1">
      <alignment/>
    </xf>
    <xf numFmtId="165" fontId="0" fillId="0" borderId="18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Continuous"/>
    </xf>
    <xf numFmtId="0" fontId="11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1" fillId="2" borderId="19" xfId="0" applyNumberFormat="1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1" fillId="2" borderId="19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center"/>
    </xf>
    <xf numFmtId="1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wrapText="1"/>
    </xf>
    <xf numFmtId="1" fontId="0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1" fillId="2" borderId="21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8" fillId="2" borderId="16" xfId="0" applyNumberFormat="1" applyFont="1" applyFill="1" applyBorder="1" applyAlignment="1">
      <alignment/>
    </xf>
    <xf numFmtId="165" fontId="0" fillId="0" borderId="16" xfId="0" applyNumberFormat="1" applyFont="1" applyBorder="1" applyAlignment="1">
      <alignment/>
    </xf>
    <xf numFmtId="165" fontId="7" fillId="2" borderId="16" xfId="0" applyNumberFormat="1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5" fontId="0" fillId="2" borderId="14" xfId="0" applyNumberFormat="1" applyFont="1" applyFill="1" applyBorder="1" applyAlignment="1">
      <alignment/>
    </xf>
    <xf numFmtId="165" fontId="7" fillId="2" borderId="14" xfId="0" applyNumberFormat="1" applyFont="1" applyFill="1" applyBorder="1" applyAlignment="1">
      <alignment/>
    </xf>
    <xf numFmtId="165" fontId="1" fillId="2" borderId="17" xfId="0" applyNumberFormat="1" applyFont="1" applyFill="1" applyBorder="1" applyAlignment="1">
      <alignment/>
    </xf>
    <xf numFmtId="165" fontId="7" fillId="2" borderId="17" xfId="0" applyNumberFormat="1" applyFont="1" applyFill="1" applyBorder="1" applyAlignment="1">
      <alignment/>
    </xf>
    <xf numFmtId="165" fontId="7" fillId="2" borderId="8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/>
    </xf>
    <xf numFmtId="165" fontId="0" fillId="2" borderId="15" xfId="0" applyNumberFormat="1" applyFont="1" applyFill="1" applyBorder="1" applyAlignment="1">
      <alignment/>
    </xf>
    <xf numFmtId="165" fontId="1" fillId="0" borderId="9" xfId="0" applyNumberFormat="1" applyFont="1" applyBorder="1" applyAlignment="1">
      <alignment/>
    </xf>
    <xf numFmtId="165" fontId="2" fillId="2" borderId="3" xfId="0" applyNumberFormat="1" applyFont="1" applyFill="1" applyBorder="1" applyAlignment="1">
      <alignment/>
    </xf>
    <xf numFmtId="165" fontId="12" fillId="2" borderId="3" xfId="0" applyNumberFormat="1" applyFont="1" applyFill="1" applyBorder="1" applyAlignment="1">
      <alignment/>
    </xf>
    <xf numFmtId="165" fontId="1" fillId="2" borderId="22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165" fontId="0" fillId="2" borderId="0" xfId="0" applyNumberFormat="1" applyFont="1" applyFill="1" applyAlignment="1">
      <alignment horizontal="right"/>
    </xf>
    <xf numFmtId="165" fontId="1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17" fontId="0" fillId="0" borderId="25" xfId="0" applyNumberFormat="1" applyFont="1" applyBorder="1" applyAlignment="1">
      <alignment horizontal="left" vertical="top" wrapText="1"/>
    </xf>
    <xf numFmtId="165" fontId="1" fillId="2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0" xfId="0" applyNumberFormat="1" applyFont="1" applyBorder="1" applyAlignment="1">
      <alignment/>
    </xf>
    <xf numFmtId="165" fontId="1" fillId="2" borderId="0" xfId="0" applyNumberFormat="1" applyFont="1" applyFill="1" applyBorder="1" applyAlignment="1">
      <alignment horizontal="left"/>
    </xf>
    <xf numFmtId="165" fontId="0" fillId="0" borderId="6" xfId="0" applyNumberFormat="1" applyFont="1" applyBorder="1" applyAlignment="1">
      <alignment/>
    </xf>
    <xf numFmtId="165" fontId="1" fillId="2" borderId="6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1" fillId="2" borderId="27" xfId="0" applyNumberFormat="1" applyFont="1" applyFill="1" applyBorder="1" applyAlignment="1">
      <alignment/>
    </xf>
    <xf numFmtId="165" fontId="1" fillId="2" borderId="23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1" fillId="2" borderId="30" xfId="0" applyNumberFormat="1" applyFont="1" applyFill="1" applyBorder="1" applyAlignment="1">
      <alignment/>
    </xf>
    <xf numFmtId="165" fontId="0" fillId="2" borderId="31" xfId="0" applyNumberFormat="1" applyFont="1" applyFill="1" applyBorder="1" applyAlignment="1">
      <alignment/>
    </xf>
    <xf numFmtId="165" fontId="0" fillId="0" borderId="32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1" fillId="2" borderId="33" xfId="0" applyNumberFormat="1" applyFont="1" applyFill="1" applyBorder="1" applyAlignment="1">
      <alignment/>
    </xf>
    <xf numFmtId="165" fontId="1" fillId="2" borderId="12" xfId="0" applyNumberFormat="1" applyFont="1" applyFill="1" applyBorder="1" applyAlignment="1">
      <alignment/>
    </xf>
    <xf numFmtId="165" fontId="1" fillId="2" borderId="34" xfId="0" applyNumberFormat="1" applyFont="1" applyFill="1" applyBorder="1" applyAlignment="1">
      <alignment/>
    </xf>
    <xf numFmtId="165" fontId="1" fillId="2" borderId="35" xfId="0" applyNumberFormat="1" applyFont="1" applyFill="1" applyBorder="1" applyAlignment="1">
      <alignment/>
    </xf>
    <xf numFmtId="165" fontId="1" fillId="2" borderId="31" xfId="0" applyNumberFormat="1" applyFont="1" applyFill="1" applyBorder="1" applyAlignment="1">
      <alignment/>
    </xf>
    <xf numFmtId="0" fontId="0" fillId="0" borderId="16" xfId="0" applyBorder="1" applyAlignment="1">
      <alignment/>
    </xf>
    <xf numFmtId="17" fontId="1" fillId="2" borderId="23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/>
    </xf>
    <xf numFmtId="165" fontId="0" fillId="0" borderId="31" xfId="0" applyNumberFormat="1" applyFont="1" applyBorder="1" applyAlignment="1">
      <alignment/>
    </xf>
    <xf numFmtId="0" fontId="2" fillId="0" borderId="3" xfId="0" applyFont="1" applyBorder="1" applyAlignment="1">
      <alignment/>
    </xf>
    <xf numFmtId="167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167" fontId="0" fillId="0" borderId="5" xfId="0" applyNumberFormat="1" applyFont="1" applyBorder="1" applyAlignment="1">
      <alignment/>
    </xf>
    <xf numFmtId="0" fontId="0" fillId="0" borderId="23" xfId="0" applyFont="1" applyBorder="1" applyAlignment="1">
      <alignment/>
    </xf>
    <xf numFmtId="191" fontId="0" fillId="0" borderId="12" xfId="15" applyNumberFormat="1" applyFont="1" applyBorder="1" applyAlignment="1">
      <alignment/>
    </xf>
    <xf numFmtId="0" fontId="0" fillId="0" borderId="30" xfId="0" applyFont="1" applyBorder="1" applyAlignment="1">
      <alignment/>
    </xf>
    <xf numFmtId="17" fontId="0" fillId="2" borderId="0" xfId="0" applyNumberFormat="1" applyFont="1" applyFill="1" applyBorder="1" applyAlignment="1">
      <alignment horizontal="center"/>
    </xf>
    <xf numFmtId="17" fontId="1" fillId="2" borderId="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/>
    </xf>
    <xf numFmtId="165" fontId="1" fillId="2" borderId="16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67" fontId="0" fillId="0" borderId="16" xfId="0" applyNumberFormat="1" applyFont="1" applyBorder="1" applyAlignment="1">
      <alignment/>
    </xf>
    <xf numFmtId="165" fontId="1" fillId="2" borderId="21" xfId="0" applyNumberFormat="1" applyFont="1" applyFill="1" applyBorder="1" applyAlignment="1">
      <alignment horizontal="right"/>
    </xf>
    <xf numFmtId="165" fontId="12" fillId="2" borderId="5" xfId="0" applyNumberFormat="1" applyFont="1" applyFill="1" applyBorder="1" applyAlignment="1">
      <alignment/>
    </xf>
    <xf numFmtId="165" fontId="12" fillId="2" borderId="16" xfId="0" applyNumberFormat="1" applyFont="1" applyFill="1" applyBorder="1" applyAlignment="1">
      <alignment/>
    </xf>
    <xf numFmtId="165" fontId="12" fillId="2" borderId="0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165" fontId="0" fillId="2" borderId="3" xfId="0" applyNumberFormat="1" applyFont="1" applyFill="1" applyBorder="1" applyAlignment="1">
      <alignment horizontal="right"/>
    </xf>
    <xf numFmtId="167" fontId="0" fillId="0" borderId="1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5" fontId="0" fillId="2" borderId="16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5" fontId="0" fillId="2" borderId="5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5" fontId="8" fillId="2" borderId="3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/>
    </xf>
    <xf numFmtId="165" fontId="1" fillId="2" borderId="12" xfId="0" applyNumberFormat="1" applyFont="1" applyFill="1" applyBorder="1" applyAlignment="1">
      <alignment horizontal="center"/>
    </xf>
    <xf numFmtId="165" fontId="0" fillId="2" borderId="26" xfId="0" applyNumberFormat="1" applyFont="1" applyFill="1" applyBorder="1" applyAlignment="1">
      <alignment/>
    </xf>
    <xf numFmtId="165" fontId="1" fillId="2" borderId="36" xfId="0" applyNumberFormat="1" applyFont="1" applyFill="1" applyBorder="1" applyAlignment="1">
      <alignment/>
    </xf>
    <xf numFmtId="165" fontId="1" fillId="2" borderId="37" xfId="0" applyNumberFormat="1" applyFont="1" applyFill="1" applyBorder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5" fontId="0" fillId="3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2" borderId="38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 quotePrefix="1">
      <alignment/>
    </xf>
    <xf numFmtId="165" fontId="0" fillId="0" borderId="3" xfId="0" applyNumberFormat="1" applyFont="1" applyFill="1" applyBorder="1" applyAlignment="1">
      <alignment/>
    </xf>
    <xf numFmtId="165" fontId="7" fillId="0" borderId="3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5" fontId="0" fillId="0" borderId="7" xfId="0" applyNumberFormat="1" applyFont="1" applyBorder="1" applyAlignment="1">
      <alignment/>
    </xf>
    <xf numFmtId="165" fontId="7" fillId="0" borderId="16" xfId="0" applyNumberFormat="1" applyFont="1" applyFill="1" applyBorder="1" applyAlignment="1">
      <alignment/>
    </xf>
    <xf numFmtId="167" fontId="0" fillId="0" borderId="39" xfId="0" applyNumberFormat="1" applyBorder="1" applyAlignment="1">
      <alignment horizontal="center"/>
    </xf>
    <xf numFmtId="49" fontId="0" fillId="3" borderId="0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" fontId="0" fillId="3" borderId="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49" fontId="0" fillId="3" borderId="0" xfId="0" applyNumberFormat="1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165" fontId="1" fillId="2" borderId="10" xfId="0" applyNumberFormat="1" applyFont="1" applyFill="1" applyBorder="1" applyAlignment="1">
      <alignment/>
    </xf>
    <xf numFmtId="165" fontId="1" fillId="2" borderId="28" xfId="0" applyNumberFormat="1" applyFont="1" applyFill="1" applyBorder="1" applyAlignment="1">
      <alignment/>
    </xf>
    <xf numFmtId="165" fontId="1" fillId="2" borderId="32" xfId="0" applyNumberFormat="1" applyFont="1" applyFill="1" applyBorder="1" applyAlignment="1">
      <alignment/>
    </xf>
    <xf numFmtId="165" fontId="0" fillId="0" borderId="3" xfId="0" applyNumberFormat="1" applyBorder="1" applyAlignment="1">
      <alignment/>
    </xf>
    <xf numFmtId="165" fontId="1" fillId="0" borderId="7" xfId="0" applyNumberFormat="1" applyFont="1" applyBorder="1" applyAlignment="1">
      <alignment/>
    </xf>
    <xf numFmtId="165" fontId="0" fillId="0" borderId="37" xfId="0" applyNumberFormat="1" applyFont="1" applyBorder="1" applyAlignment="1">
      <alignment/>
    </xf>
    <xf numFmtId="0" fontId="0" fillId="0" borderId="39" xfId="0" applyFont="1" applyBorder="1" applyAlignment="1">
      <alignment/>
    </xf>
    <xf numFmtId="167" fontId="0" fillId="0" borderId="1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/>
    </xf>
    <xf numFmtId="165" fontId="0" fillId="2" borderId="7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12" fillId="2" borderId="18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4" xfId="0" applyFont="1" applyBorder="1" applyAlignment="1">
      <alignment/>
    </xf>
    <xf numFmtId="177" fontId="15" fillId="4" borderId="26" xfId="0" applyNumberFormat="1" applyFont="1" applyFill="1" applyBorder="1" applyAlignment="1">
      <alignment/>
    </xf>
    <xf numFmtId="0" fontId="15" fillId="4" borderId="0" xfId="0" applyFont="1" applyFill="1" applyBorder="1" applyAlignment="1">
      <alignment/>
    </xf>
    <xf numFmtId="177" fontId="15" fillId="4" borderId="18" xfId="0" applyNumberFormat="1" applyFont="1" applyFill="1" applyBorder="1" applyAlignment="1">
      <alignment/>
    </xf>
    <xf numFmtId="0" fontId="15" fillId="4" borderId="26" xfId="0" applyFont="1" applyFill="1" applyBorder="1" applyAlignment="1">
      <alignment/>
    </xf>
    <xf numFmtId="0" fontId="15" fillId="4" borderId="18" xfId="0" applyFont="1" applyFill="1" applyBorder="1" applyAlignment="1">
      <alignment/>
    </xf>
    <xf numFmtId="43" fontId="15" fillId="4" borderId="26" xfId="15" applyFont="1" applyFill="1" applyBorder="1" applyAlignment="1">
      <alignment/>
    </xf>
    <xf numFmtId="0" fontId="15" fillId="0" borderId="2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25" xfId="0" applyFont="1" applyBorder="1" applyAlignment="1">
      <alignment/>
    </xf>
    <xf numFmtId="165" fontId="0" fillId="2" borderId="23" xfId="0" applyNumberFormat="1" applyFont="1" applyFill="1" applyBorder="1" applyAlignment="1">
      <alignment/>
    </xf>
    <xf numFmtId="165" fontId="0" fillId="2" borderId="42" xfId="0" applyNumberFormat="1" applyFont="1" applyFill="1" applyBorder="1" applyAlignment="1">
      <alignment/>
    </xf>
    <xf numFmtId="165" fontId="0" fillId="2" borderId="22" xfId="0" applyNumberFormat="1" applyFont="1" applyFill="1" applyBorder="1" applyAlignment="1">
      <alignment/>
    </xf>
    <xf numFmtId="0" fontId="14" fillId="0" borderId="16" xfId="0" applyFont="1" applyBorder="1" applyAlignment="1">
      <alignment/>
    </xf>
    <xf numFmtId="177" fontId="15" fillId="0" borderId="0" xfId="0" applyNumberFormat="1" applyFont="1" applyBorder="1" applyAlignment="1">
      <alignment/>
    </xf>
    <xf numFmtId="0" fontId="15" fillId="0" borderId="0" xfId="0" applyFont="1" applyBorder="1" applyAlignment="1" quotePrefix="1">
      <alignment/>
    </xf>
    <xf numFmtId="16" fontId="15" fillId="0" borderId="0" xfId="0" applyNumberFormat="1" applyFont="1" applyBorder="1" applyAlignment="1" quotePrefix="1">
      <alignment/>
    </xf>
    <xf numFmtId="0" fontId="14" fillId="0" borderId="16" xfId="0" applyFont="1" applyBorder="1" applyAlignment="1">
      <alignment/>
    </xf>
    <xf numFmtId="43" fontId="15" fillId="0" borderId="0" xfId="15" applyFont="1" applyBorder="1" applyAlignment="1">
      <alignment/>
    </xf>
    <xf numFmtId="0" fontId="14" fillId="0" borderId="0" xfId="0" applyFont="1" applyBorder="1" applyAlignment="1">
      <alignment/>
    </xf>
    <xf numFmtId="165" fontId="0" fillId="2" borderId="30" xfId="0" applyNumberFormat="1" applyFont="1" applyFill="1" applyBorder="1" applyAlignment="1">
      <alignment/>
    </xf>
    <xf numFmtId="165" fontId="0" fillId="2" borderId="43" xfId="0" applyNumberFormat="1" applyFont="1" applyFill="1" applyBorder="1" applyAlignment="1">
      <alignment/>
    </xf>
    <xf numFmtId="165" fontId="0" fillId="2" borderId="27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165" fontId="8" fillId="2" borderId="14" xfId="0" applyNumberFormat="1" applyFont="1" applyFill="1" applyBorder="1" applyAlignment="1">
      <alignment/>
    </xf>
    <xf numFmtId="0" fontId="0" fillId="0" borderId="3" xfId="0" applyBorder="1" applyAlignment="1">
      <alignment/>
    </xf>
    <xf numFmtId="165" fontId="2" fillId="0" borderId="0" xfId="0" applyNumberFormat="1" applyFont="1" applyBorder="1" applyAlignment="1">
      <alignment/>
    </xf>
    <xf numFmtId="0" fontId="0" fillId="3" borderId="0" xfId="0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14" fontId="1" fillId="2" borderId="6" xfId="0" applyNumberFormat="1" applyFont="1" applyFill="1" applyBorder="1" applyAlignment="1">
      <alignment/>
    </xf>
    <xf numFmtId="14" fontId="1" fillId="2" borderId="2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65" fontId="1" fillId="2" borderId="29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65" fontId="16" fillId="0" borderId="3" xfId="0" applyNumberFormat="1" applyFont="1" applyBorder="1" applyAlignment="1">
      <alignment/>
    </xf>
    <xf numFmtId="165" fontId="16" fillId="0" borderId="3" xfId="0" applyNumberFormat="1" applyFont="1" applyBorder="1" applyAlignment="1">
      <alignment/>
    </xf>
    <xf numFmtId="165" fontId="0" fillId="0" borderId="14" xfId="0" applyNumberFormat="1" applyBorder="1" applyAlignment="1">
      <alignment horizontal="center"/>
    </xf>
    <xf numFmtId="165" fontId="1" fillId="2" borderId="0" xfId="17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6" fillId="2" borderId="3" xfId="0" applyFont="1" applyFill="1" applyBorder="1" applyAlignment="1" quotePrefix="1">
      <alignment horizontal="left"/>
    </xf>
    <xf numFmtId="0" fontId="17" fillId="5" borderId="3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16" fillId="0" borderId="3" xfId="0" applyFont="1" applyBorder="1" applyAlignment="1">
      <alignment horizontal="left"/>
    </xf>
    <xf numFmtId="49" fontId="0" fillId="3" borderId="0" xfId="0" applyNumberFormat="1" applyFill="1" applyBorder="1" applyAlignment="1">
      <alignment/>
    </xf>
    <xf numFmtId="17" fontId="0" fillId="0" borderId="6" xfId="0" applyNumberFormat="1" applyFont="1" applyBorder="1" applyAlignment="1">
      <alignment horizontal="center"/>
    </xf>
    <xf numFmtId="17" fontId="1" fillId="2" borderId="30" xfId="0" applyNumberFormat="1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17" fontId="0" fillId="2" borderId="16" xfId="0" applyNumberFormat="1" applyFont="1" applyFill="1" applyBorder="1" applyAlignment="1">
      <alignment horizontal="center"/>
    </xf>
    <xf numFmtId="17" fontId="0" fillId="2" borderId="22" xfId="0" applyNumberFormat="1" applyFont="1" applyFill="1" applyBorder="1" applyAlignment="1">
      <alignment horizontal="center"/>
    </xf>
    <xf numFmtId="17" fontId="0" fillId="2" borderId="14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 horizontal="center"/>
    </xf>
    <xf numFmtId="17" fontId="0" fillId="2" borderId="16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17" fontId="16" fillId="0" borderId="0" xfId="0" applyNumberFormat="1" applyFont="1" applyBorder="1" applyAlignment="1">
      <alignment/>
    </xf>
    <xf numFmtId="17" fontId="16" fillId="0" borderId="0" xfId="0" applyNumberFormat="1" applyFont="1" applyBorder="1" applyAlignment="1">
      <alignment/>
    </xf>
    <xf numFmtId="17" fontId="16" fillId="0" borderId="0" xfId="0" applyNumberFormat="1" applyFont="1" applyAlignment="1">
      <alignment/>
    </xf>
    <xf numFmtId="17" fontId="1" fillId="2" borderId="22" xfId="0" applyNumberFormat="1" applyFont="1" applyFill="1" applyBorder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17" fontId="1" fillId="2" borderId="15" xfId="0" applyNumberFormat="1" applyFont="1" applyFill="1" applyBorder="1" applyAlignment="1">
      <alignment horizontal="center"/>
    </xf>
    <xf numFmtId="17" fontId="7" fillId="2" borderId="16" xfId="0" applyNumberFormat="1" applyFont="1" applyFill="1" applyBorder="1" applyAlignment="1">
      <alignment horizontal="center"/>
    </xf>
    <xf numFmtId="17" fontId="7" fillId="2" borderId="14" xfId="0" applyNumberFormat="1" applyFont="1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17" fontId="0" fillId="0" borderId="14" xfId="0" applyNumberFormat="1" applyFont="1" applyBorder="1" applyAlignment="1">
      <alignment horizontal="center"/>
    </xf>
    <xf numFmtId="17" fontId="1" fillId="2" borderId="16" xfId="0" applyNumberFormat="1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17" fontId="7" fillId="2" borderId="30" xfId="0" applyNumberFormat="1" applyFont="1" applyFill="1" applyBorder="1" applyAlignment="1">
      <alignment horizontal="center"/>
    </xf>
    <xf numFmtId="17" fontId="7" fillId="2" borderId="27" xfId="0" applyNumberFormat="1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17" fontId="0" fillId="0" borderId="23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17" fontId="0" fillId="0" borderId="30" xfId="0" applyNumberFormat="1" applyFont="1" applyBorder="1" applyAlignment="1">
      <alignment horizontal="center"/>
    </xf>
    <xf numFmtId="17" fontId="0" fillId="0" borderId="2" xfId="0" applyNumberFormat="1" applyFont="1" applyBorder="1" applyAlignment="1">
      <alignment horizontal="center"/>
    </xf>
    <xf numFmtId="17" fontId="0" fillId="2" borderId="6" xfId="0" applyNumberFormat="1" applyFont="1" applyFill="1" applyBorder="1" applyAlignment="1">
      <alignment horizontal="center"/>
    </xf>
    <xf numFmtId="17" fontId="15" fillId="0" borderId="0" xfId="0" applyNumberFormat="1" applyFont="1" applyBorder="1" applyAlignment="1">
      <alignment/>
    </xf>
    <xf numFmtId="17" fontId="14" fillId="0" borderId="0" xfId="0" applyNumberFormat="1" applyFont="1" applyBorder="1" applyAlignment="1">
      <alignment/>
    </xf>
    <xf numFmtId="17" fontId="14" fillId="0" borderId="0" xfId="0" applyNumberFormat="1" applyFont="1" applyBorder="1" applyAlignment="1">
      <alignment/>
    </xf>
    <xf numFmtId="17" fontId="0" fillId="2" borderId="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7" fillId="0" borderId="27" xfId="0" applyNumberFormat="1" applyFont="1" applyFill="1" applyBorder="1" applyAlignment="1">
      <alignment/>
    </xf>
    <xf numFmtId="165" fontId="7" fillId="0" borderId="14" xfId="0" applyNumberFormat="1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165" fontId="0" fillId="0" borderId="45" xfId="0" applyNumberFormat="1" applyFill="1" applyBorder="1" applyAlignment="1">
      <alignment/>
    </xf>
    <xf numFmtId="165" fontId="0" fillId="0" borderId="46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7" fillId="0" borderId="30" xfId="0" applyNumberFormat="1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165" fontId="7" fillId="0" borderId="27" xfId="0" applyNumberFormat="1" applyFont="1" applyFill="1" applyBorder="1" applyAlignment="1">
      <alignment/>
    </xf>
    <xf numFmtId="192" fontId="0" fillId="0" borderId="34" xfId="0" applyNumberFormat="1" applyFill="1" applyBorder="1" applyAlignment="1">
      <alignment/>
    </xf>
    <xf numFmtId="165" fontId="7" fillId="2" borderId="7" xfId="0" applyNumberFormat="1" applyFont="1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197" fontId="0" fillId="0" borderId="3" xfId="0" applyNumberFormat="1" applyFont="1" applyFill="1" applyBorder="1" applyAlignment="1">
      <alignment horizontal="right"/>
    </xf>
    <xf numFmtId="165" fontId="0" fillId="0" borderId="12" xfId="0" applyNumberFormat="1" applyFont="1" applyBorder="1" applyAlignment="1">
      <alignment/>
    </xf>
    <xf numFmtId="165" fontId="0" fillId="2" borderId="18" xfId="0" applyNumberFormat="1" applyFont="1" applyFill="1" applyBorder="1" applyAlignment="1">
      <alignment/>
    </xf>
    <xf numFmtId="165" fontId="0" fillId="0" borderId="5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7" fontId="1" fillId="2" borderId="23" xfId="0" applyNumberFormat="1" applyFont="1" applyFill="1" applyBorder="1" applyAlignment="1">
      <alignment horizontal="center"/>
    </xf>
    <xf numFmtId="17" fontId="0" fillId="0" borderId="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165" fontId="1" fillId="0" borderId="33" xfId="0" applyNumberFormat="1" applyFont="1" applyBorder="1" applyAlignment="1">
      <alignment/>
    </xf>
    <xf numFmtId="165" fontId="1" fillId="0" borderId="35" xfId="0" applyNumberFormat="1" applyFont="1" applyBorder="1" applyAlignment="1">
      <alignment horizontal="center"/>
    </xf>
    <xf numFmtId="165" fontId="1" fillId="2" borderId="48" xfId="0" applyNumberFormat="1" applyFont="1" applyFill="1" applyBorder="1" applyAlignment="1">
      <alignment/>
    </xf>
    <xf numFmtId="165" fontId="1" fillId="2" borderId="1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ancy\Corporate%20%20&amp;%20Outstationed\Corporate\Chris%20Mee\Cap%20Monitoring\2002-03\Capital%20Monitoring\2001%20files\2000%20files\Capital%20Report%20Feb%2001%20append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0%20files\Capital%20Report%20Feb%2001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X996"/>
  <sheetViews>
    <sheetView showGridLines="0" view="pageBreakPreview" zoomScale="50" zoomScaleSheetLayoutView="50" workbookViewId="0" topLeftCell="A2">
      <pane xSplit="4" ySplit="2" topLeftCell="E1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AA2" sqref="AA1:AA16384"/>
    </sheetView>
  </sheetViews>
  <sheetFormatPr defaultColWidth="6.7109375" defaultRowHeight="12.75"/>
  <cols>
    <col min="1" max="1" width="7.57421875" style="29" hidden="1" customWidth="1"/>
    <col min="2" max="2" width="11.57421875" style="29" hidden="1" customWidth="1"/>
    <col min="3" max="3" width="50.140625" style="6" customWidth="1"/>
    <col min="4" max="4" width="9.7109375" style="6" customWidth="1"/>
    <col min="5" max="5" width="7.140625" style="145" bestFit="1" customWidth="1"/>
    <col min="6" max="6" width="7.421875" style="145" bestFit="1" customWidth="1"/>
    <col min="7" max="7" width="10.140625" style="6" customWidth="1"/>
    <col min="8" max="8" width="7.7109375" style="14" hidden="1" customWidth="1"/>
    <col min="9" max="17" width="7.7109375" style="6" hidden="1" customWidth="1"/>
    <col min="18" max="18" width="9.140625" style="6" hidden="1" customWidth="1"/>
    <col min="19" max="19" width="7.7109375" style="6" hidden="1" customWidth="1"/>
    <col min="20" max="20" width="9.00390625" style="6" customWidth="1"/>
    <col min="21" max="21" width="8.140625" style="10" hidden="1" customWidth="1"/>
    <col min="22" max="22" width="2.8515625" style="10" customWidth="1"/>
    <col min="23" max="23" width="12.140625" style="252" hidden="1" customWidth="1"/>
    <col min="24" max="24" width="11.7109375" style="6" customWidth="1"/>
    <col min="25" max="25" width="10.7109375" style="6" customWidth="1"/>
    <col min="26" max="26" width="13.00390625" style="6" customWidth="1"/>
    <col min="27" max="27" width="9.00390625" style="6" bestFit="1" customWidth="1"/>
    <col min="28" max="28" width="10.28125" style="6" bestFit="1" customWidth="1"/>
    <col min="29" max="29" width="10.140625" style="6" bestFit="1" customWidth="1"/>
    <col min="30" max="30" width="9.00390625" style="29" bestFit="1" customWidth="1"/>
    <col min="31" max="31" width="10.421875" style="29" bestFit="1" customWidth="1"/>
    <col min="32" max="32" width="10.8515625" style="29" hidden="1" customWidth="1"/>
    <col min="33" max="34" width="10.7109375" style="29" hidden="1" customWidth="1"/>
    <col min="35" max="35" width="10.57421875" style="29" hidden="1" customWidth="1"/>
    <col min="36" max="49" width="10.7109375" style="29" hidden="1" customWidth="1"/>
    <col min="50" max="50" width="51.140625" style="29" hidden="1" customWidth="1"/>
    <col min="51" max="71" width="10.7109375" style="29" customWidth="1"/>
    <col min="72" max="16384" width="1.8515625" style="29" customWidth="1"/>
  </cols>
  <sheetData>
    <row r="1" spans="3:24" ht="13.5" customHeight="1" hidden="1" thickBot="1">
      <c r="C1" s="10" t="s">
        <v>286</v>
      </c>
      <c r="H1" s="6"/>
      <c r="X1" s="10" t="s">
        <v>303</v>
      </c>
    </row>
    <row r="2" spans="2:31" ht="40.5" customHeight="1">
      <c r="B2" s="29" t="s">
        <v>306</v>
      </c>
      <c r="C2" s="3"/>
      <c r="D2" s="39" t="s">
        <v>139</v>
      </c>
      <c r="E2" s="340" t="s">
        <v>242</v>
      </c>
      <c r="F2" s="341"/>
      <c r="G2" s="39" t="s">
        <v>185</v>
      </c>
      <c r="H2" s="342" t="s">
        <v>304</v>
      </c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4"/>
      <c r="T2" s="28" t="s">
        <v>304</v>
      </c>
      <c r="U2" s="16"/>
      <c r="V2" s="16"/>
      <c r="W2" s="253" t="s">
        <v>625</v>
      </c>
      <c r="X2" s="39" t="s">
        <v>196</v>
      </c>
      <c r="Y2" s="39" t="s">
        <v>305</v>
      </c>
      <c r="Z2" s="102" t="s">
        <v>72</v>
      </c>
      <c r="AA2" s="13"/>
      <c r="AB2" s="39" t="s">
        <v>269</v>
      </c>
      <c r="AC2" s="13"/>
      <c r="AD2" s="40"/>
      <c r="AE2" s="347"/>
    </row>
    <row r="3" spans="2:50" ht="15" customHeight="1" thickBot="1">
      <c r="B3" s="29" t="s">
        <v>307</v>
      </c>
      <c r="C3" s="27"/>
      <c r="D3" s="41"/>
      <c r="E3" s="280" t="s">
        <v>243</v>
      </c>
      <c r="F3" s="281" t="s">
        <v>244</v>
      </c>
      <c r="G3" s="42" t="s">
        <v>113</v>
      </c>
      <c r="H3" s="4" t="s">
        <v>112</v>
      </c>
      <c r="I3" s="4" t="s">
        <v>113</v>
      </c>
      <c r="J3" s="4" t="s">
        <v>114</v>
      </c>
      <c r="K3" s="4" t="s">
        <v>115</v>
      </c>
      <c r="L3" s="4" t="s">
        <v>116</v>
      </c>
      <c r="M3" s="4" t="s">
        <v>117</v>
      </c>
      <c r="N3" s="4" t="s">
        <v>118</v>
      </c>
      <c r="O3" s="4" t="s">
        <v>119</v>
      </c>
      <c r="P3" s="4" t="s">
        <v>120</v>
      </c>
      <c r="Q3" s="4" t="s">
        <v>121</v>
      </c>
      <c r="R3" s="4" t="s">
        <v>122</v>
      </c>
      <c r="S3" s="4" t="s">
        <v>123</v>
      </c>
      <c r="T3" s="41" t="str">
        <f>G3</f>
        <v>May</v>
      </c>
      <c r="U3" s="17"/>
      <c r="V3" s="17"/>
      <c r="W3" s="254"/>
      <c r="X3" s="41" t="s">
        <v>195</v>
      </c>
      <c r="Y3" s="41" t="s">
        <v>195</v>
      </c>
      <c r="Z3" s="42"/>
      <c r="AA3" s="41" t="s">
        <v>268</v>
      </c>
      <c r="AB3" s="42"/>
      <c r="AC3" s="41" t="s">
        <v>270</v>
      </c>
      <c r="AD3" s="43" t="s">
        <v>271</v>
      </c>
      <c r="AE3" s="348" t="s">
        <v>257</v>
      </c>
      <c r="AF3" s="38"/>
      <c r="AG3" s="37" t="s">
        <v>272</v>
      </c>
      <c r="AH3" s="37" t="s">
        <v>296</v>
      </c>
      <c r="AI3" s="37" t="s">
        <v>280</v>
      </c>
      <c r="AJ3" s="37" t="s">
        <v>285</v>
      </c>
      <c r="AK3" s="37" t="s">
        <v>283</v>
      </c>
      <c r="AL3" s="37" t="s">
        <v>281</v>
      </c>
      <c r="AM3" s="37" t="s">
        <v>282</v>
      </c>
      <c r="AN3" s="37" t="s">
        <v>273</v>
      </c>
      <c r="AO3" s="37" t="s">
        <v>274</v>
      </c>
      <c r="AP3" s="37" t="s">
        <v>231</v>
      </c>
      <c r="AQ3" s="37" t="s">
        <v>275</v>
      </c>
      <c r="AR3" s="37" t="s">
        <v>276</v>
      </c>
      <c r="AS3" s="37" t="s">
        <v>267</v>
      </c>
      <c r="AT3" s="37" t="s">
        <v>277</v>
      </c>
      <c r="AU3" s="37" t="s">
        <v>284</v>
      </c>
      <c r="AV3" s="37" t="s">
        <v>278</v>
      </c>
      <c r="AW3" s="37" t="s">
        <v>257</v>
      </c>
      <c r="AX3" s="29" t="s">
        <v>279</v>
      </c>
    </row>
    <row r="4" spans="3:49" ht="12.75">
      <c r="C4" s="3"/>
      <c r="D4" s="109" t="s">
        <v>232</v>
      </c>
      <c r="E4" s="282"/>
      <c r="F4" s="283"/>
      <c r="G4" s="169" t="s">
        <v>232</v>
      </c>
      <c r="H4" s="88" t="s">
        <v>232</v>
      </c>
      <c r="I4" s="81" t="s">
        <v>232</v>
      </c>
      <c r="J4" s="81" t="s">
        <v>232</v>
      </c>
      <c r="K4" s="81" t="s">
        <v>232</v>
      </c>
      <c r="L4" s="81" t="s">
        <v>232</v>
      </c>
      <c r="M4" s="81" t="s">
        <v>232</v>
      </c>
      <c r="N4" s="81" t="s">
        <v>232</v>
      </c>
      <c r="O4" s="81" t="s">
        <v>232</v>
      </c>
      <c r="P4" s="81" t="s">
        <v>232</v>
      </c>
      <c r="Q4" s="81" t="s">
        <v>232</v>
      </c>
      <c r="R4" s="81" t="s">
        <v>232</v>
      </c>
      <c r="S4" s="87" t="s">
        <v>232</v>
      </c>
      <c r="T4" s="87" t="s">
        <v>232</v>
      </c>
      <c r="U4" s="17"/>
      <c r="V4" s="17"/>
      <c r="W4" s="254"/>
      <c r="X4" s="171" t="s">
        <v>232</v>
      </c>
      <c r="Y4" s="44" t="s">
        <v>232</v>
      </c>
      <c r="Z4" s="44"/>
      <c r="AA4" s="44" t="s">
        <v>232</v>
      </c>
      <c r="AB4" s="44" t="s">
        <v>232</v>
      </c>
      <c r="AC4" s="44" t="s">
        <v>232</v>
      </c>
      <c r="AD4" s="45" t="s">
        <v>232</v>
      </c>
      <c r="AE4" s="44" t="s">
        <v>232</v>
      </c>
      <c r="AG4" s="29" t="s">
        <v>232</v>
      </c>
      <c r="AI4" s="29" t="s">
        <v>232</v>
      </c>
      <c r="AJ4" s="29" t="s">
        <v>232</v>
      </c>
      <c r="AK4" s="29" t="s">
        <v>232</v>
      </c>
      <c r="AL4" s="29" t="s">
        <v>232</v>
      </c>
      <c r="AM4" s="29" t="s">
        <v>232</v>
      </c>
      <c r="AN4" s="29" t="s">
        <v>232</v>
      </c>
      <c r="AO4" s="29" t="s">
        <v>232</v>
      </c>
      <c r="AP4" s="29" t="s">
        <v>232</v>
      </c>
      <c r="AQ4" s="29" t="s">
        <v>232</v>
      </c>
      <c r="AR4" s="29" t="s">
        <v>232</v>
      </c>
      <c r="AS4" s="29" t="s">
        <v>232</v>
      </c>
      <c r="AT4" s="29" t="s">
        <v>232</v>
      </c>
      <c r="AU4" s="29" t="s">
        <v>232</v>
      </c>
      <c r="AV4" s="29" t="s">
        <v>232</v>
      </c>
      <c r="AW4" s="30" t="s">
        <v>232</v>
      </c>
    </row>
    <row r="5" spans="3:49" ht="12.75">
      <c r="C5" s="7"/>
      <c r="D5" s="5"/>
      <c r="E5" s="282"/>
      <c r="F5" s="284"/>
      <c r="G5" s="5"/>
      <c r="H5" s="47"/>
      <c r="S5" s="89"/>
      <c r="T5" s="89"/>
      <c r="X5" s="32"/>
      <c r="Y5" s="32"/>
      <c r="Z5" s="32"/>
      <c r="AA5" s="32"/>
      <c r="AB5" s="32"/>
      <c r="AC5" s="32"/>
      <c r="AD5" s="33"/>
      <c r="AE5" s="33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3"/>
    </row>
    <row r="6" spans="3:49" ht="12.75">
      <c r="C6" s="7" t="s">
        <v>67</v>
      </c>
      <c r="D6" s="5"/>
      <c r="E6" s="282"/>
      <c r="F6" s="284"/>
      <c r="G6" s="5"/>
      <c r="H6" s="47"/>
      <c r="S6" s="89"/>
      <c r="T6" s="89"/>
      <c r="X6" s="32"/>
      <c r="Y6" s="32"/>
      <c r="Z6" s="32"/>
      <c r="AA6" s="32"/>
      <c r="AB6" s="32"/>
      <c r="AC6" s="32"/>
      <c r="AD6" s="33"/>
      <c r="AE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2:49" ht="12.75">
      <c r="B7" s="278" t="s">
        <v>299</v>
      </c>
      <c r="C7" s="79" t="s">
        <v>183</v>
      </c>
      <c r="D7" s="139">
        <v>8.935</v>
      </c>
      <c r="E7" s="285"/>
      <c r="F7" s="285"/>
      <c r="G7" s="139">
        <v>0.36</v>
      </c>
      <c r="H7" s="47"/>
      <c r="S7" s="89"/>
      <c r="T7" s="159">
        <f>D7/12*2</f>
        <v>1.4891666666666667</v>
      </c>
      <c r="X7" s="32"/>
      <c r="Y7" s="32"/>
      <c r="Z7" s="32"/>
      <c r="AA7" s="32"/>
      <c r="AB7" s="32"/>
      <c r="AC7" s="32"/>
      <c r="AD7" s="33"/>
      <c r="AE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2:49" ht="12.75">
      <c r="B8" s="278" t="s">
        <v>299</v>
      </c>
      <c r="C8" s="79" t="s">
        <v>59</v>
      </c>
      <c r="D8" s="139">
        <v>6.692</v>
      </c>
      <c r="E8" s="282"/>
      <c r="G8" s="160">
        <v>0.46</v>
      </c>
      <c r="H8" s="163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59">
        <f aca="true" t="shared" si="0" ref="T8:T15">D8/12*2</f>
        <v>1.1153333333333333</v>
      </c>
      <c r="U8" s="161" t="str">
        <f aca="true" t="shared" si="1" ref="U8:U15">IF(SUM(H8:S8)-D8=0,"","adjust profile")</f>
        <v>adjust profile</v>
      </c>
      <c r="V8" s="162"/>
      <c r="W8" s="255"/>
      <c r="X8" s="165"/>
      <c r="Y8" s="165"/>
      <c r="Z8" s="165"/>
      <c r="AA8" s="165"/>
      <c r="AB8" s="165"/>
      <c r="AC8" s="32"/>
      <c r="AD8" s="165"/>
      <c r="AE8" s="165"/>
      <c r="AF8" s="162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33">
        <f aca="true" t="shared" si="2" ref="AW8:AW15">SUM(AG8:AV8)</f>
        <v>0</v>
      </c>
    </row>
    <row r="9" spans="2:49" ht="12.75">
      <c r="B9" s="278" t="s">
        <v>299</v>
      </c>
      <c r="C9" s="149" t="s">
        <v>60</v>
      </c>
      <c r="D9" s="139">
        <v>12.381</v>
      </c>
      <c r="E9" s="282"/>
      <c r="G9" s="160">
        <v>1.358</v>
      </c>
      <c r="H9" s="163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59">
        <f t="shared" si="0"/>
        <v>2.0635</v>
      </c>
      <c r="U9" s="161" t="str">
        <f t="shared" si="1"/>
        <v>adjust profile</v>
      </c>
      <c r="V9" s="162"/>
      <c r="W9" s="255"/>
      <c r="X9" s="165"/>
      <c r="Y9" s="165"/>
      <c r="Z9" s="165"/>
      <c r="AA9" s="165"/>
      <c r="AB9" s="165"/>
      <c r="AC9" s="32"/>
      <c r="AD9" s="165"/>
      <c r="AE9" s="165"/>
      <c r="AF9" s="162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33">
        <f t="shared" si="2"/>
        <v>0</v>
      </c>
    </row>
    <row r="10" spans="2:49" ht="12.75">
      <c r="B10" s="278" t="s">
        <v>299</v>
      </c>
      <c r="C10" s="79" t="s">
        <v>61</v>
      </c>
      <c r="D10" s="139">
        <v>2.631</v>
      </c>
      <c r="E10" s="282"/>
      <c r="G10" s="160">
        <v>0.396</v>
      </c>
      <c r="H10" s="163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59">
        <f t="shared" si="0"/>
        <v>0.43849999999999995</v>
      </c>
      <c r="U10" s="161" t="str">
        <f t="shared" si="1"/>
        <v>adjust profile</v>
      </c>
      <c r="V10" s="162"/>
      <c r="W10" s="255"/>
      <c r="X10" s="165"/>
      <c r="Y10" s="165"/>
      <c r="Z10" s="165"/>
      <c r="AA10" s="165"/>
      <c r="AB10" s="165"/>
      <c r="AC10" s="32"/>
      <c r="AD10" s="165"/>
      <c r="AE10" s="165"/>
      <c r="AF10" s="162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33">
        <f t="shared" si="2"/>
        <v>0</v>
      </c>
    </row>
    <row r="11" spans="2:49" ht="12.75">
      <c r="B11" s="278" t="s">
        <v>299</v>
      </c>
      <c r="C11" s="79" t="s">
        <v>62</v>
      </c>
      <c r="D11" s="139">
        <v>0.709</v>
      </c>
      <c r="E11" s="282"/>
      <c r="G11" s="160">
        <v>0.071</v>
      </c>
      <c r="H11" s="163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59">
        <f t="shared" si="0"/>
        <v>0.11816666666666666</v>
      </c>
      <c r="U11" s="161" t="str">
        <f t="shared" si="1"/>
        <v>adjust profile</v>
      </c>
      <c r="V11" s="162"/>
      <c r="W11" s="255"/>
      <c r="X11" s="165"/>
      <c r="Y11" s="165"/>
      <c r="Z11" s="165"/>
      <c r="AA11" s="165"/>
      <c r="AB11" s="165"/>
      <c r="AC11" s="32"/>
      <c r="AD11" s="165"/>
      <c r="AE11" s="165"/>
      <c r="AF11" s="162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33">
        <f t="shared" si="2"/>
        <v>0</v>
      </c>
    </row>
    <row r="12" spans="2:49" ht="12.75">
      <c r="B12" s="278" t="s">
        <v>299</v>
      </c>
      <c r="C12" s="149" t="s">
        <v>63</v>
      </c>
      <c r="D12" s="139">
        <v>0.64</v>
      </c>
      <c r="E12" s="282"/>
      <c r="G12" s="160">
        <v>0</v>
      </c>
      <c r="H12" s="163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59">
        <f t="shared" si="0"/>
        <v>0.10666666666666667</v>
      </c>
      <c r="U12" s="161" t="str">
        <f t="shared" si="1"/>
        <v>adjust profile</v>
      </c>
      <c r="V12" s="162"/>
      <c r="W12" s="255"/>
      <c r="X12" s="165"/>
      <c r="Y12" s="165"/>
      <c r="Z12" s="165"/>
      <c r="AA12" s="165"/>
      <c r="AB12" s="165"/>
      <c r="AC12" s="32"/>
      <c r="AD12" s="165"/>
      <c r="AE12" s="165"/>
      <c r="AF12" s="162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33">
        <f t="shared" si="2"/>
        <v>0</v>
      </c>
    </row>
    <row r="13" spans="2:49" ht="12.75">
      <c r="B13" s="278" t="s">
        <v>299</v>
      </c>
      <c r="C13" s="149" t="s">
        <v>64</v>
      </c>
      <c r="D13" s="139">
        <v>4.001</v>
      </c>
      <c r="E13" s="282"/>
      <c r="G13" s="160">
        <v>0.017</v>
      </c>
      <c r="H13" s="163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59">
        <f t="shared" si="0"/>
        <v>0.6668333333333334</v>
      </c>
      <c r="U13" s="161" t="str">
        <f t="shared" si="1"/>
        <v>adjust profile</v>
      </c>
      <c r="V13" s="162"/>
      <c r="W13" s="255"/>
      <c r="X13" s="165"/>
      <c r="Y13" s="165"/>
      <c r="Z13" s="165"/>
      <c r="AA13" s="165"/>
      <c r="AB13" s="165"/>
      <c r="AC13" s="32"/>
      <c r="AD13" s="165"/>
      <c r="AE13" s="165"/>
      <c r="AF13" s="162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33">
        <f t="shared" si="2"/>
        <v>0</v>
      </c>
    </row>
    <row r="14" spans="2:49" ht="12.75">
      <c r="B14" s="278" t="s">
        <v>299</v>
      </c>
      <c r="C14" s="79" t="s">
        <v>65</v>
      </c>
      <c r="D14" s="139">
        <v>4.556</v>
      </c>
      <c r="E14" s="286"/>
      <c r="G14" s="160">
        <v>0.308</v>
      </c>
      <c r="H14" s="163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59">
        <f t="shared" si="0"/>
        <v>0.7593333333333333</v>
      </c>
      <c r="U14" s="161" t="str">
        <f t="shared" si="1"/>
        <v>adjust profile</v>
      </c>
      <c r="V14" s="162"/>
      <c r="W14" s="255"/>
      <c r="X14" s="165"/>
      <c r="Y14" s="165"/>
      <c r="Z14" s="165"/>
      <c r="AA14" s="165"/>
      <c r="AB14" s="165"/>
      <c r="AC14" s="32"/>
      <c r="AD14" s="165"/>
      <c r="AE14" s="165"/>
      <c r="AF14" s="162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33">
        <f t="shared" si="2"/>
        <v>0</v>
      </c>
    </row>
    <row r="15" spans="2:50" ht="13.5" thickBot="1">
      <c r="B15" s="278" t="s">
        <v>299</v>
      </c>
      <c r="C15" s="79" t="s">
        <v>66</v>
      </c>
      <c r="D15" s="139">
        <v>-5.532</v>
      </c>
      <c r="E15" s="285"/>
      <c r="F15" s="285"/>
      <c r="G15" s="139"/>
      <c r="H15" s="47"/>
      <c r="T15" s="159">
        <f t="shared" si="0"/>
        <v>-0.922</v>
      </c>
      <c r="U15" s="161" t="str">
        <f t="shared" si="1"/>
        <v>adjust profile</v>
      </c>
      <c r="V15" s="162"/>
      <c r="W15" s="255"/>
      <c r="X15" s="32">
        <v>3.481</v>
      </c>
      <c r="Y15" s="32"/>
      <c r="Z15" s="32"/>
      <c r="AA15" s="32"/>
      <c r="AB15" s="32">
        <v>5.231</v>
      </c>
      <c r="AC15" s="32">
        <f>AW15</f>
        <v>26.301000000000002</v>
      </c>
      <c r="AD15" s="33"/>
      <c r="AE15" s="33">
        <f>SUM(X15:AD15)</f>
        <v>35.013000000000005</v>
      </c>
      <c r="AG15" s="33"/>
      <c r="AH15" s="33">
        <v>1</v>
      </c>
      <c r="AI15" s="33"/>
      <c r="AJ15" s="33"/>
      <c r="AK15" s="33"/>
      <c r="AL15" s="33"/>
      <c r="AM15" s="33"/>
      <c r="AN15" s="33">
        <v>0.73</v>
      </c>
      <c r="AO15" s="33">
        <v>1.362</v>
      </c>
      <c r="AP15" s="33">
        <v>0.679</v>
      </c>
      <c r="AQ15" s="33">
        <v>1.55</v>
      </c>
      <c r="AR15" s="33"/>
      <c r="AS15" s="33"/>
      <c r="AT15" s="33">
        <v>20.98</v>
      </c>
      <c r="AU15" s="33"/>
      <c r="AV15" s="33"/>
      <c r="AW15" s="137">
        <f t="shared" si="2"/>
        <v>26.301000000000002</v>
      </c>
      <c r="AX15" s="181"/>
    </row>
    <row r="16" spans="2:49" ht="12.75">
      <c r="B16" s="29">
        <f>SUM(D8:D14)/2</f>
        <v>15.805000000000001</v>
      </c>
      <c r="C16" s="7" t="s">
        <v>68</v>
      </c>
      <c r="D16" s="13">
        <f>SUM(D7:D15)</f>
        <v>35.013000000000005</v>
      </c>
      <c r="E16" s="135"/>
      <c r="F16" s="146"/>
      <c r="G16" s="13">
        <f>SUM(G7:G15)</f>
        <v>2.9699999999999998</v>
      </c>
      <c r="H16" s="121">
        <f>SUM(H7:H15)</f>
        <v>0</v>
      </c>
      <c r="I16" s="116">
        <f>SUM(I7:I15)</f>
        <v>0</v>
      </c>
      <c r="J16" s="116">
        <f aca="true" t="shared" si="3" ref="J16:S16">SUM(J7:J15)</f>
        <v>0</v>
      </c>
      <c r="K16" s="116">
        <f t="shared" si="3"/>
        <v>0</v>
      </c>
      <c r="L16" s="116">
        <f t="shared" si="3"/>
        <v>0</v>
      </c>
      <c r="M16" s="116">
        <f t="shared" si="3"/>
        <v>0</v>
      </c>
      <c r="N16" s="116">
        <f t="shared" si="3"/>
        <v>0</v>
      </c>
      <c r="O16" s="116">
        <f t="shared" si="3"/>
        <v>0</v>
      </c>
      <c r="P16" s="116">
        <f t="shared" si="3"/>
        <v>0</v>
      </c>
      <c r="Q16" s="116">
        <f t="shared" si="3"/>
        <v>0</v>
      </c>
      <c r="R16" s="116">
        <f t="shared" si="3"/>
        <v>0</v>
      </c>
      <c r="S16" s="116">
        <f t="shared" si="3"/>
        <v>0</v>
      </c>
      <c r="T16" s="204">
        <f>SUM(T7:T15)</f>
        <v>5.8355</v>
      </c>
      <c r="U16" s="161" t="str">
        <f aca="true" t="shared" si="4" ref="U16:U21">IF(SUM(H16:S16)-D16=0,"","adjust profile")</f>
        <v>adjust profile</v>
      </c>
      <c r="V16" s="162"/>
      <c r="W16" s="255"/>
      <c r="X16" s="130">
        <f>SUM(X7:X15)</f>
        <v>3.481</v>
      </c>
      <c r="Y16" s="130">
        <f aca="true" t="shared" si="5" ref="Y16:AE16">SUM(Y7:Y15)</f>
        <v>0</v>
      </c>
      <c r="Z16" s="130">
        <f t="shared" si="5"/>
        <v>0</v>
      </c>
      <c r="AA16" s="130">
        <f t="shared" si="5"/>
        <v>0</v>
      </c>
      <c r="AB16" s="130">
        <f t="shared" si="5"/>
        <v>5.231</v>
      </c>
      <c r="AC16" s="130">
        <f t="shared" si="5"/>
        <v>26.301000000000002</v>
      </c>
      <c r="AD16" s="130">
        <f t="shared" si="5"/>
        <v>0</v>
      </c>
      <c r="AE16" s="130">
        <f t="shared" si="5"/>
        <v>35.013000000000005</v>
      </c>
      <c r="AF16" s="116"/>
      <c r="AG16" s="130">
        <f>SUM(AG7:AG15)</f>
        <v>0</v>
      </c>
      <c r="AH16" s="130">
        <f>SUM(AH7:AH15)</f>
        <v>1</v>
      </c>
      <c r="AI16" s="130">
        <f aca="true" t="shared" si="6" ref="AI16:AW16">SUM(AI7:AI15)</f>
        <v>0</v>
      </c>
      <c r="AJ16" s="130">
        <f t="shared" si="6"/>
        <v>0</v>
      </c>
      <c r="AK16" s="130">
        <f t="shared" si="6"/>
        <v>0</v>
      </c>
      <c r="AL16" s="130">
        <f t="shared" si="6"/>
        <v>0</v>
      </c>
      <c r="AM16" s="130">
        <f t="shared" si="6"/>
        <v>0</v>
      </c>
      <c r="AN16" s="130">
        <f t="shared" si="6"/>
        <v>0.73</v>
      </c>
      <c r="AO16" s="130">
        <f t="shared" si="6"/>
        <v>1.362</v>
      </c>
      <c r="AP16" s="130">
        <f t="shared" si="6"/>
        <v>0.679</v>
      </c>
      <c r="AQ16" s="130">
        <f t="shared" si="6"/>
        <v>1.55</v>
      </c>
      <c r="AR16" s="130">
        <f t="shared" si="6"/>
        <v>0</v>
      </c>
      <c r="AS16" s="130">
        <f t="shared" si="6"/>
        <v>0</v>
      </c>
      <c r="AT16" s="130">
        <f t="shared" si="6"/>
        <v>20.98</v>
      </c>
      <c r="AU16" s="130">
        <f t="shared" si="6"/>
        <v>0</v>
      </c>
      <c r="AV16" s="130">
        <f t="shared" si="6"/>
        <v>0</v>
      </c>
      <c r="AW16" s="130">
        <f t="shared" si="6"/>
        <v>26.301000000000002</v>
      </c>
    </row>
    <row r="17" spans="3:49" ht="12.75">
      <c r="C17" s="5"/>
      <c r="D17" s="5"/>
      <c r="E17" s="282"/>
      <c r="G17" s="7"/>
      <c r="H17" s="47"/>
      <c r="T17" s="159"/>
      <c r="U17" s="161">
        <f t="shared" si="4"/>
      </c>
      <c r="V17" s="162"/>
      <c r="W17" s="255"/>
      <c r="X17" s="32"/>
      <c r="Y17" s="32"/>
      <c r="Z17" s="32"/>
      <c r="AA17" s="32"/>
      <c r="AB17" s="32"/>
      <c r="AC17" s="32"/>
      <c r="AD17" s="33"/>
      <c r="AE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3:49" ht="12.75">
      <c r="C18" s="8"/>
      <c r="D18" s="5"/>
      <c r="E18" s="282"/>
      <c r="G18" s="7"/>
      <c r="H18" s="47"/>
      <c r="T18" s="5"/>
      <c r="U18" s="161">
        <f t="shared" si="4"/>
      </c>
      <c r="V18" s="162"/>
      <c r="W18" s="255"/>
      <c r="X18" s="32"/>
      <c r="Y18" s="32"/>
      <c r="Z18" s="32"/>
      <c r="AA18" s="32"/>
      <c r="AB18" s="32"/>
      <c r="AC18" s="32"/>
      <c r="AD18" s="33"/>
      <c r="AE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3:49" ht="12.75">
      <c r="C19" s="7" t="s">
        <v>69</v>
      </c>
      <c r="D19" s="5"/>
      <c r="E19" s="282"/>
      <c r="G19" s="7"/>
      <c r="H19" s="47"/>
      <c r="T19" s="5"/>
      <c r="U19" s="161">
        <f t="shared" si="4"/>
      </c>
      <c r="V19" s="162"/>
      <c r="W19" s="255"/>
      <c r="X19" s="32"/>
      <c r="Y19" s="32"/>
      <c r="Z19" s="32"/>
      <c r="AA19" s="32"/>
      <c r="AB19" s="32"/>
      <c r="AC19" s="32"/>
      <c r="AD19" s="33"/>
      <c r="AE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ht="12" customHeight="1">
      <c r="A20" s="29" t="s">
        <v>204</v>
      </c>
      <c r="B20" s="189" t="s">
        <v>299</v>
      </c>
      <c r="C20" s="152" t="s">
        <v>1158</v>
      </c>
      <c r="D20" s="22">
        <f>SUM(D21:D62)</f>
        <v>10.332000000000003</v>
      </c>
      <c r="E20" s="285"/>
      <c r="F20" s="285"/>
      <c r="G20" s="22">
        <f>SUM(G21:G62)</f>
        <v>0</v>
      </c>
      <c r="H20" s="15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59">
        <f>D20/12*2</f>
        <v>1.7220000000000004</v>
      </c>
      <c r="U20" s="161" t="str">
        <f t="shared" si="4"/>
        <v>adjust profile</v>
      </c>
      <c r="V20" s="162"/>
      <c r="W20" s="255"/>
      <c r="X20" s="141"/>
      <c r="Y20" s="141"/>
      <c r="Z20" s="141"/>
      <c r="AA20" s="141"/>
      <c r="AB20" s="141"/>
      <c r="AC20" s="141"/>
      <c r="AD20" s="141"/>
      <c r="AE20" s="141"/>
      <c r="AG20" s="141">
        <f>SUM(AG21:AG57)</f>
        <v>0</v>
      </c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</row>
    <row r="21" spans="1:49" ht="12.75" customHeight="1" hidden="1">
      <c r="A21" s="190"/>
      <c r="C21" s="150" t="s">
        <v>639</v>
      </c>
      <c r="D21" s="22">
        <v>0</v>
      </c>
      <c r="E21" s="285"/>
      <c r="F21" s="285"/>
      <c r="G21" s="22">
        <v>0</v>
      </c>
      <c r="H21" s="86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59">
        <f aca="true" t="shared" si="7" ref="T21:T84">D21/12*2</f>
        <v>0</v>
      </c>
      <c r="U21" s="161">
        <f t="shared" si="4"/>
      </c>
      <c r="V21" s="162"/>
      <c r="W21" s="255"/>
      <c r="X21" s="32"/>
      <c r="Y21" s="32"/>
      <c r="Z21" s="32"/>
      <c r="AA21" s="32"/>
      <c r="AB21" s="32"/>
      <c r="AC21" s="32"/>
      <c r="AD21" s="33"/>
      <c r="AE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ht="12.75" customHeight="1" hidden="1">
      <c r="A22" s="190"/>
      <c r="C22" s="150" t="s">
        <v>640</v>
      </c>
      <c r="D22" s="22">
        <v>0</v>
      </c>
      <c r="E22" s="285"/>
      <c r="F22" s="285"/>
      <c r="G22" s="22">
        <v>0</v>
      </c>
      <c r="H22" s="8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59">
        <f t="shared" si="7"/>
        <v>0</v>
      </c>
      <c r="U22" s="161">
        <f aca="true" t="shared" si="8" ref="U22:U62">IF(SUM(H22:S22)-D22=0,"","adjust profile")</f>
      </c>
      <c r="V22" s="162"/>
      <c r="W22" s="255"/>
      <c r="X22" s="32"/>
      <c r="Y22" s="32"/>
      <c r="Z22" s="32"/>
      <c r="AA22" s="32"/>
      <c r="AB22" s="32"/>
      <c r="AC22" s="32"/>
      <c r="AD22" s="33"/>
      <c r="AE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ht="12.75" customHeight="1" hidden="1">
      <c r="A23" s="190"/>
      <c r="B23" s="29" t="s">
        <v>641</v>
      </c>
      <c r="C23" s="150" t="s">
        <v>642</v>
      </c>
      <c r="D23" s="22">
        <v>1.123</v>
      </c>
      <c r="E23" s="285"/>
      <c r="F23" s="285"/>
      <c r="G23" s="22">
        <v>0</v>
      </c>
      <c r="H23" s="8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59">
        <f t="shared" si="7"/>
        <v>0.18716666666666668</v>
      </c>
      <c r="U23" s="161" t="str">
        <f t="shared" si="8"/>
        <v>adjust profile</v>
      </c>
      <c r="V23" s="162"/>
      <c r="W23" s="255"/>
      <c r="X23" s="32"/>
      <c r="Y23" s="32"/>
      <c r="Z23" s="32"/>
      <c r="AA23" s="32"/>
      <c r="AB23" s="32"/>
      <c r="AC23" s="32"/>
      <c r="AD23" s="33"/>
      <c r="AE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ht="12.75" customHeight="1" hidden="1">
      <c r="A24" s="190"/>
      <c r="B24" s="29" t="s">
        <v>643</v>
      </c>
      <c r="C24" s="150" t="s">
        <v>644</v>
      </c>
      <c r="D24" s="22">
        <v>0.109</v>
      </c>
      <c r="E24" s="285"/>
      <c r="F24" s="285"/>
      <c r="G24" s="22">
        <v>0</v>
      </c>
      <c r="H24" s="8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59">
        <f t="shared" si="7"/>
        <v>0.018166666666666668</v>
      </c>
      <c r="U24" s="161" t="str">
        <f t="shared" si="8"/>
        <v>adjust profile</v>
      </c>
      <c r="V24" s="162"/>
      <c r="W24" s="255"/>
      <c r="X24" s="32"/>
      <c r="Y24" s="32"/>
      <c r="Z24" s="32"/>
      <c r="AA24" s="32"/>
      <c r="AB24" s="32"/>
      <c r="AC24" s="32"/>
      <c r="AD24" s="33"/>
      <c r="AE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ht="12.75" customHeight="1" hidden="1">
      <c r="A25" s="190"/>
      <c r="C25" s="150" t="s">
        <v>645</v>
      </c>
      <c r="D25" s="22">
        <v>0</v>
      </c>
      <c r="E25" s="285"/>
      <c r="F25" s="285"/>
      <c r="G25" s="22">
        <v>0</v>
      </c>
      <c r="H25" s="8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59">
        <f t="shared" si="7"/>
        <v>0</v>
      </c>
      <c r="U25" s="161">
        <f t="shared" si="8"/>
      </c>
      <c r="V25" s="162"/>
      <c r="W25" s="255"/>
      <c r="X25" s="32"/>
      <c r="Y25" s="32"/>
      <c r="Z25" s="32"/>
      <c r="AA25" s="32"/>
      <c r="AB25" s="32"/>
      <c r="AC25" s="32"/>
      <c r="AD25" s="33"/>
      <c r="AE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ht="12.75" customHeight="1" hidden="1">
      <c r="A26" s="190"/>
      <c r="B26" s="29" t="s">
        <v>646</v>
      </c>
      <c r="C26" s="150" t="s">
        <v>647</v>
      </c>
      <c r="D26" s="22">
        <v>0.085</v>
      </c>
      <c r="E26" s="285"/>
      <c r="F26" s="285"/>
      <c r="G26" s="22">
        <v>0</v>
      </c>
      <c r="H26" s="8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59">
        <f t="shared" si="7"/>
        <v>0.014166666666666668</v>
      </c>
      <c r="U26" s="161" t="str">
        <f t="shared" si="8"/>
        <v>adjust profile</v>
      </c>
      <c r="V26" s="162"/>
      <c r="W26" s="255"/>
      <c r="X26" s="32"/>
      <c r="Y26" s="32"/>
      <c r="Z26" s="32"/>
      <c r="AA26" s="32"/>
      <c r="AB26" s="32"/>
      <c r="AC26" s="32"/>
      <c r="AD26" s="33"/>
      <c r="AE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2.75" customHeight="1" hidden="1">
      <c r="A27" s="190"/>
      <c r="B27" s="29" t="s">
        <v>648</v>
      </c>
      <c r="C27" s="150" t="s">
        <v>649</v>
      </c>
      <c r="D27" s="22">
        <v>0.02</v>
      </c>
      <c r="E27" s="285"/>
      <c r="F27" s="285"/>
      <c r="G27" s="22">
        <v>0</v>
      </c>
      <c r="H27" s="8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59">
        <f t="shared" si="7"/>
        <v>0.0033333333333333335</v>
      </c>
      <c r="U27" s="161" t="str">
        <f t="shared" si="8"/>
        <v>adjust profile</v>
      </c>
      <c r="V27" s="162"/>
      <c r="W27" s="255"/>
      <c r="X27" s="32"/>
      <c r="Y27" s="32"/>
      <c r="Z27" s="32"/>
      <c r="AA27" s="32"/>
      <c r="AB27" s="32"/>
      <c r="AC27" s="32"/>
      <c r="AD27" s="33"/>
      <c r="AE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ht="12.75" customHeight="1" hidden="1">
      <c r="A28" s="190"/>
      <c r="B28" s="29" t="s">
        <v>650</v>
      </c>
      <c r="C28" s="150" t="s">
        <v>651</v>
      </c>
      <c r="D28" s="22">
        <v>0.015</v>
      </c>
      <c r="E28" s="285"/>
      <c r="F28" s="285"/>
      <c r="G28" s="22">
        <v>0</v>
      </c>
      <c r="H28" s="8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59">
        <f t="shared" si="7"/>
        <v>0.0025</v>
      </c>
      <c r="U28" s="161" t="str">
        <f t="shared" si="8"/>
        <v>adjust profile</v>
      </c>
      <c r="V28" s="162"/>
      <c r="W28" s="255"/>
      <c r="X28" s="32"/>
      <c r="Y28" s="32"/>
      <c r="Z28" s="32"/>
      <c r="AA28" s="32"/>
      <c r="AB28" s="32"/>
      <c r="AC28" s="32"/>
      <c r="AD28" s="33"/>
      <c r="AE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ht="12.75" customHeight="1" hidden="1">
      <c r="A29" s="190"/>
      <c r="B29" s="29" t="s">
        <v>652</v>
      </c>
      <c r="C29" s="150" t="s">
        <v>653</v>
      </c>
      <c r="D29" s="22">
        <v>0.356</v>
      </c>
      <c r="E29" s="285"/>
      <c r="F29" s="285"/>
      <c r="G29" s="22">
        <v>0</v>
      </c>
      <c r="H29" s="8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59">
        <f t="shared" si="7"/>
        <v>0.05933333333333333</v>
      </c>
      <c r="U29" s="161" t="str">
        <f t="shared" si="8"/>
        <v>adjust profile</v>
      </c>
      <c r="V29" s="162"/>
      <c r="W29" s="255"/>
      <c r="X29" s="32"/>
      <c r="Y29" s="32"/>
      <c r="Z29" s="32"/>
      <c r="AA29" s="32"/>
      <c r="AB29" s="32"/>
      <c r="AC29" s="32"/>
      <c r="AD29" s="33"/>
      <c r="AE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ht="12.75" customHeight="1" hidden="1">
      <c r="A30" s="190"/>
      <c r="B30" s="29" t="s">
        <v>654</v>
      </c>
      <c r="C30" s="150" t="s">
        <v>655</v>
      </c>
      <c r="D30" s="22">
        <v>0.208</v>
      </c>
      <c r="E30" s="285"/>
      <c r="F30" s="285"/>
      <c r="G30" s="22">
        <v>0</v>
      </c>
      <c r="H30" s="8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59">
        <f t="shared" si="7"/>
        <v>0.034666666666666665</v>
      </c>
      <c r="U30" s="161" t="str">
        <f t="shared" si="8"/>
        <v>adjust profile</v>
      </c>
      <c r="V30" s="162"/>
      <c r="W30" s="255"/>
      <c r="X30" s="32"/>
      <c r="Y30" s="32"/>
      <c r="Z30" s="32"/>
      <c r="AA30" s="32"/>
      <c r="AB30" s="32"/>
      <c r="AC30" s="32"/>
      <c r="AD30" s="33"/>
      <c r="AE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ht="12.75" customHeight="1" hidden="1">
      <c r="A31" s="190"/>
      <c r="B31" s="29" t="s">
        <v>656</v>
      </c>
      <c r="C31" s="150" t="s">
        <v>657</v>
      </c>
      <c r="D31" s="22">
        <v>0.052</v>
      </c>
      <c r="E31" s="285"/>
      <c r="F31" s="285"/>
      <c r="G31" s="22">
        <v>0</v>
      </c>
      <c r="H31" s="8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59">
        <f t="shared" si="7"/>
        <v>0.008666666666666666</v>
      </c>
      <c r="U31" s="161" t="str">
        <f t="shared" si="8"/>
        <v>adjust profile</v>
      </c>
      <c r="V31" s="162"/>
      <c r="W31" s="255"/>
      <c r="X31" s="32"/>
      <c r="Y31" s="32"/>
      <c r="Z31" s="32"/>
      <c r="AA31" s="32"/>
      <c r="AB31" s="32"/>
      <c r="AC31" s="32"/>
      <c r="AD31" s="33"/>
      <c r="AE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ht="12.75" customHeight="1" hidden="1">
      <c r="A32" s="190"/>
      <c r="C32" s="150" t="s">
        <v>658</v>
      </c>
      <c r="D32" s="22">
        <v>0</v>
      </c>
      <c r="E32" s="285"/>
      <c r="F32" s="285"/>
      <c r="G32" s="22">
        <v>0</v>
      </c>
      <c r="H32" s="8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59">
        <f t="shared" si="7"/>
        <v>0</v>
      </c>
      <c r="U32" s="161">
        <f t="shared" si="8"/>
      </c>
      <c r="V32" s="162"/>
      <c r="W32" s="255"/>
      <c r="X32" s="32"/>
      <c r="Y32" s="32"/>
      <c r="Z32" s="32"/>
      <c r="AA32" s="32"/>
      <c r="AB32" s="32"/>
      <c r="AC32" s="32"/>
      <c r="AD32" s="33"/>
      <c r="AE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ht="12.75" customHeight="1" hidden="1">
      <c r="A33" s="190"/>
      <c r="B33" s="29" t="s">
        <v>659</v>
      </c>
      <c r="C33" s="150" t="s">
        <v>660</v>
      </c>
      <c r="D33" s="22">
        <v>0.149</v>
      </c>
      <c r="E33" s="285"/>
      <c r="F33" s="285"/>
      <c r="G33" s="22">
        <v>0</v>
      </c>
      <c r="H33" s="8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59">
        <f t="shared" si="7"/>
        <v>0.024833333333333332</v>
      </c>
      <c r="U33" s="161" t="str">
        <f t="shared" si="8"/>
        <v>adjust profile</v>
      </c>
      <c r="V33" s="162"/>
      <c r="W33" s="255"/>
      <c r="X33" s="32"/>
      <c r="Y33" s="32"/>
      <c r="Z33" s="32"/>
      <c r="AA33" s="32"/>
      <c r="AB33" s="32"/>
      <c r="AC33" s="32"/>
      <c r="AD33" s="33"/>
      <c r="AE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2.75" customHeight="1" hidden="1">
      <c r="A34" s="190"/>
      <c r="B34" s="29" t="s">
        <v>661</v>
      </c>
      <c r="C34" s="150" t="s">
        <v>662</v>
      </c>
      <c r="D34" s="22">
        <v>0.011</v>
      </c>
      <c r="E34" s="285"/>
      <c r="F34" s="285"/>
      <c r="G34" s="22">
        <v>0</v>
      </c>
      <c r="H34" s="8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59">
        <f t="shared" si="7"/>
        <v>0.0018333333333333333</v>
      </c>
      <c r="U34" s="161" t="str">
        <f t="shared" si="8"/>
        <v>adjust profile</v>
      </c>
      <c r="V34" s="162"/>
      <c r="W34" s="255"/>
      <c r="X34" s="32"/>
      <c r="Y34" s="32"/>
      <c r="Z34" s="32"/>
      <c r="AA34" s="32"/>
      <c r="AB34" s="32"/>
      <c r="AC34" s="32"/>
      <c r="AD34" s="33"/>
      <c r="AE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ht="12.75" customHeight="1" hidden="1">
      <c r="A35" s="190"/>
      <c r="C35" s="150"/>
      <c r="D35" s="22">
        <v>0</v>
      </c>
      <c r="E35" s="285"/>
      <c r="F35" s="285"/>
      <c r="G35" s="22">
        <v>0</v>
      </c>
      <c r="H35" s="8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59">
        <f t="shared" si="7"/>
        <v>0</v>
      </c>
      <c r="U35" s="161">
        <f t="shared" si="8"/>
      </c>
      <c r="V35" s="162"/>
      <c r="W35" s="255"/>
      <c r="X35" s="32"/>
      <c r="Y35" s="32"/>
      <c r="Z35" s="32"/>
      <c r="AA35" s="32"/>
      <c r="AB35" s="32"/>
      <c r="AC35" s="32"/>
      <c r="AD35" s="33"/>
      <c r="AE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ht="12.75" customHeight="1" hidden="1">
      <c r="A36" s="190"/>
      <c r="C36" s="150" t="s">
        <v>663</v>
      </c>
      <c r="D36" s="22">
        <v>0</v>
      </c>
      <c r="E36" s="285"/>
      <c r="F36" s="285"/>
      <c r="G36" s="22">
        <v>0</v>
      </c>
      <c r="H36" s="8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59">
        <f t="shared" si="7"/>
        <v>0</v>
      </c>
      <c r="U36" s="161">
        <f t="shared" si="8"/>
      </c>
      <c r="V36" s="162"/>
      <c r="W36" s="255"/>
      <c r="X36" s="32"/>
      <c r="Y36" s="32"/>
      <c r="Z36" s="32"/>
      <c r="AA36" s="32"/>
      <c r="AB36" s="32"/>
      <c r="AC36" s="32"/>
      <c r="AD36" s="33"/>
      <c r="AE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ht="12.75" customHeight="1" hidden="1">
      <c r="A37" s="190"/>
      <c r="C37" s="150" t="s">
        <v>658</v>
      </c>
      <c r="D37" s="22">
        <v>0</v>
      </c>
      <c r="E37" s="285"/>
      <c r="F37" s="285"/>
      <c r="G37" s="22">
        <v>0</v>
      </c>
      <c r="H37" s="8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59">
        <f t="shared" si="7"/>
        <v>0</v>
      </c>
      <c r="U37" s="161">
        <f t="shared" si="8"/>
      </c>
      <c r="V37" s="162"/>
      <c r="W37" s="255"/>
      <c r="X37" s="32"/>
      <c r="Y37" s="32"/>
      <c r="Z37" s="32"/>
      <c r="AA37" s="32"/>
      <c r="AB37" s="32"/>
      <c r="AC37" s="32"/>
      <c r="AD37" s="33"/>
      <c r="AE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ht="12.75" customHeight="1" hidden="1">
      <c r="A38" s="190"/>
      <c r="B38" s="29" t="s">
        <v>664</v>
      </c>
      <c r="C38" s="150" t="s">
        <v>665</v>
      </c>
      <c r="D38" s="22">
        <v>1.738</v>
      </c>
      <c r="E38" s="285"/>
      <c r="F38" s="285"/>
      <c r="G38" s="22">
        <v>0</v>
      </c>
      <c r="H38" s="8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59">
        <f t="shared" si="7"/>
        <v>0.2896666666666667</v>
      </c>
      <c r="U38" s="161" t="str">
        <f t="shared" si="8"/>
        <v>adjust profile</v>
      </c>
      <c r="V38" s="162"/>
      <c r="W38" s="255"/>
      <c r="X38" s="32"/>
      <c r="Y38" s="32"/>
      <c r="Z38" s="32"/>
      <c r="AA38" s="32"/>
      <c r="AB38" s="32"/>
      <c r="AC38" s="32"/>
      <c r="AD38" s="33"/>
      <c r="AE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 ht="12.75" customHeight="1" hidden="1">
      <c r="A39" s="190"/>
      <c r="C39" s="150" t="s">
        <v>666</v>
      </c>
      <c r="D39" s="22">
        <v>0</v>
      </c>
      <c r="E39" s="285"/>
      <c r="F39" s="285"/>
      <c r="G39" s="22">
        <v>0</v>
      </c>
      <c r="H39" s="8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59">
        <f t="shared" si="7"/>
        <v>0</v>
      </c>
      <c r="U39" s="161">
        <f t="shared" si="8"/>
      </c>
      <c r="V39" s="162"/>
      <c r="W39" s="255"/>
      <c r="X39" s="32"/>
      <c r="Y39" s="32"/>
      <c r="Z39" s="32"/>
      <c r="AA39" s="32"/>
      <c r="AB39" s="32"/>
      <c r="AC39" s="32"/>
      <c r="AD39" s="33"/>
      <c r="AE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 ht="12.75" customHeight="1" hidden="1">
      <c r="A40" s="190"/>
      <c r="B40" s="29" t="s">
        <v>667</v>
      </c>
      <c r="C40" s="150" t="s">
        <v>668</v>
      </c>
      <c r="D40" s="22">
        <v>1.666</v>
      </c>
      <c r="E40" s="285"/>
      <c r="F40" s="285"/>
      <c r="G40" s="22">
        <v>0</v>
      </c>
      <c r="H40" s="8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59">
        <f t="shared" si="7"/>
        <v>0.2776666666666667</v>
      </c>
      <c r="U40" s="161" t="str">
        <f t="shared" si="8"/>
        <v>adjust profile</v>
      </c>
      <c r="V40" s="162"/>
      <c r="W40" s="255"/>
      <c r="X40" s="32"/>
      <c r="Y40" s="32"/>
      <c r="Z40" s="32"/>
      <c r="AA40" s="32"/>
      <c r="AB40" s="32"/>
      <c r="AC40" s="32"/>
      <c r="AD40" s="33"/>
      <c r="AE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 ht="12.75" customHeight="1" hidden="1">
      <c r="A41" s="190"/>
      <c r="C41" s="150"/>
      <c r="D41" s="22">
        <v>0</v>
      </c>
      <c r="E41" s="285"/>
      <c r="F41" s="285"/>
      <c r="G41" s="22">
        <v>0</v>
      </c>
      <c r="H41" s="8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59">
        <f t="shared" si="7"/>
        <v>0</v>
      </c>
      <c r="U41" s="161">
        <f t="shared" si="8"/>
      </c>
      <c r="V41" s="162"/>
      <c r="W41" s="255"/>
      <c r="X41" s="32"/>
      <c r="Y41" s="32"/>
      <c r="Z41" s="32"/>
      <c r="AA41" s="32"/>
      <c r="AB41" s="32"/>
      <c r="AC41" s="32"/>
      <c r="AD41" s="33"/>
      <c r="AE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 ht="12.75" customHeight="1" hidden="1">
      <c r="A42" s="190"/>
      <c r="C42" s="150" t="s">
        <v>669</v>
      </c>
      <c r="D42" s="22">
        <v>0</v>
      </c>
      <c r="E42" s="285"/>
      <c r="F42" s="285"/>
      <c r="G42" s="22">
        <v>0</v>
      </c>
      <c r="H42" s="86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59">
        <f t="shared" si="7"/>
        <v>0</v>
      </c>
      <c r="U42" s="161">
        <f t="shared" si="8"/>
      </c>
      <c r="V42" s="162"/>
      <c r="W42" s="255"/>
      <c r="X42" s="32"/>
      <c r="Y42" s="32"/>
      <c r="Z42" s="32"/>
      <c r="AA42" s="32"/>
      <c r="AB42" s="32"/>
      <c r="AC42" s="32"/>
      <c r="AD42" s="33"/>
      <c r="AE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 ht="12.75" customHeight="1" hidden="1">
      <c r="A43" s="190"/>
      <c r="C43" s="150" t="s">
        <v>658</v>
      </c>
      <c r="D43" s="22">
        <v>0</v>
      </c>
      <c r="E43" s="285"/>
      <c r="F43" s="285"/>
      <c r="G43" s="22">
        <v>0</v>
      </c>
      <c r="H43" s="8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59">
        <f t="shared" si="7"/>
        <v>0</v>
      </c>
      <c r="U43" s="161">
        <f t="shared" si="8"/>
      </c>
      <c r="V43" s="162"/>
      <c r="W43" s="255"/>
      <c r="X43" s="32"/>
      <c r="Y43" s="32"/>
      <c r="Z43" s="32"/>
      <c r="AA43" s="32"/>
      <c r="AB43" s="32"/>
      <c r="AC43" s="32"/>
      <c r="AD43" s="33"/>
      <c r="AE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2.75" customHeight="1" hidden="1">
      <c r="A44" s="190"/>
      <c r="B44" s="29" t="s">
        <v>670</v>
      </c>
      <c r="C44" s="150" t="s">
        <v>671</v>
      </c>
      <c r="D44" s="22">
        <v>1.175</v>
      </c>
      <c r="E44" s="285"/>
      <c r="F44" s="285"/>
      <c r="G44" s="22">
        <v>0</v>
      </c>
      <c r="H44" s="47"/>
      <c r="T44" s="159">
        <f t="shared" si="7"/>
        <v>0.19583333333333333</v>
      </c>
      <c r="U44" s="161" t="str">
        <f t="shared" si="8"/>
        <v>adjust profile</v>
      </c>
      <c r="V44" s="162"/>
      <c r="W44" s="255"/>
      <c r="X44" s="32"/>
      <c r="Y44" s="32"/>
      <c r="Z44" s="32"/>
      <c r="AA44" s="32"/>
      <c r="AB44" s="32"/>
      <c r="AC44" s="32"/>
      <c r="AD44" s="33"/>
      <c r="AE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 ht="12.75" customHeight="1" hidden="1">
      <c r="A45" s="190"/>
      <c r="B45" s="29" t="s">
        <v>672</v>
      </c>
      <c r="C45" s="150" t="s">
        <v>673</v>
      </c>
      <c r="D45" s="22">
        <v>0.393</v>
      </c>
      <c r="E45" s="285"/>
      <c r="F45" s="285"/>
      <c r="G45" s="22">
        <v>0</v>
      </c>
      <c r="H45" s="86"/>
      <c r="I45" s="12"/>
      <c r="J45" s="12"/>
      <c r="K45" s="12"/>
      <c r="L45" s="12"/>
      <c r="P45" s="12"/>
      <c r="Q45" s="12"/>
      <c r="R45" s="12"/>
      <c r="S45" s="12"/>
      <c r="T45" s="159">
        <f t="shared" si="7"/>
        <v>0.0655</v>
      </c>
      <c r="U45" s="161" t="str">
        <f t="shared" si="8"/>
        <v>adjust profile</v>
      </c>
      <c r="V45" s="162"/>
      <c r="W45" s="255"/>
      <c r="X45" s="32"/>
      <c r="Y45" s="32"/>
      <c r="Z45" s="32"/>
      <c r="AA45" s="32"/>
      <c r="AB45" s="32"/>
      <c r="AC45" s="32"/>
      <c r="AD45" s="33"/>
      <c r="AE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 ht="12.75" customHeight="1" hidden="1">
      <c r="A46" s="190"/>
      <c r="B46" s="29" t="s">
        <v>674</v>
      </c>
      <c r="C46" s="150" t="s">
        <v>675</v>
      </c>
      <c r="D46" s="22">
        <v>0.521</v>
      </c>
      <c r="E46" s="285"/>
      <c r="F46" s="285"/>
      <c r="G46" s="22">
        <v>0</v>
      </c>
      <c r="H46" s="86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59">
        <f t="shared" si="7"/>
        <v>0.08683333333333333</v>
      </c>
      <c r="U46" s="161" t="str">
        <f t="shared" si="8"/>
        <v>adjust profile</v>
      </c>
      <c r="V46" s="162"/>
      <c r="W46" s="255"/>
      <c r="X46" s="32"/>
      <c r="Y46" s="32"/>
      <c r="Z46" s="32"/>
      <c r="AA46" s="32"/>
      <c r="AB46" s="32"/>
      <c r="AC46" s="32"/>
      <c r="AD46" s="33"/>
      <c r="AE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12.75" customHeight="1" hidden="1">
      <c r="A47" s="190"/>
      <c r="C47" s="150" t="s">
        <v>666</v>
      </c>
      <c r="D47" s="22">
        <v>0</v>
      </c>
      <c r="E47" s="285"/>
      <c r="F47" s="285"/>
      <c r="G47" s="22">
        <v>0</v>
      </c>
      <c r="H47" s="8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59">
        <f t="shared" si="7"/>
        <v>0</v>
      </c>
      <c r="U47" s="161">
        <f t="shared" si="8"/>
      </c>
      <c r="V47" s="162"/>
      <c r="W47" s="255"/>
      <c r="X47" s="32"/>
      <c r="Y47" s="32"/>
      <c r="Z47" s="32"/>
      <c r="AA47" s="32"/>
      <c r="AB47" s="32"/>
      <c r="AC47" s="32"/>
      <c r="AD47" s="33"/>
      <c r="AE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</row>
    <row r="48" spans="1:49" ht="12.75" customHeight="1" hidden="1">
      <c r="A48" s="190"/>
      <c r="B48" s="29" t="s">
        <v>676</v>
      </c>
      <c r="C48" s="150" t="s">
        <v>677</v>
      </c>
      <c r="D48" s="22">
        <v>0.133</v>
      </c>
      <c r="E48" s="285"/>
      <c r="F48" s="285"/>
      <c r="G48" s="22">
        <v>0</v>
      </c>
      <c r="H48" s="8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59">
        <f t="shared" si="7"/>
        <v>0.022166666666666668</v>
      </c>
      <c r="U48" s="161" t="str">
        <f t="shared" si="8"/>
        <v>adjust profile</v>
      </c>
      <c r="V48" s="162"/>
      <c r="W48" s="255"/>
      <c r="X48" s="32"/>
      <c r="Y48" s="32"/>
      <c r="Z48" s="32"/>
      <c r="AA48" s="32"/>
      <c r="AB48" s="32"/>
      <c r="AC48" s="32"/>
      <c r="AD48" s="33"/>
      <c r="AE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>
        <f>SUM(AG48:AV48)</f>
        <v>0</v>
      </c>
    </row>
    <row r="49" spans="1:49" ht="12.75" customHeight="1" hidden="1">
      <c r="A49" s="190"/>
      <c r="B49" s="29" t="s">
        <v>678</v>
      </c>
      <c r="C49" s="150" t="s">
        <v>679</v>
      </c>
      <c r="D49" s="22">
        <v>0.11</v>
      </c>
      <c r="E49" s="285"/>
      <c r="F49" s="285"/>
      <c r="G49" s="22">
        <v>0</v>
      </c>
      <c r="H49" s="8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59">
        <f t="shared" si="7"/>
        <v>0.018333333333333333</v>
      </c>
      <c r="U49" s="161" t="str">
        <f t="shared" si="8"/>
        <v>adjust profile</v>
      </c>
      <c r="V49" s="162"/>
      <c r="W49" s="255"/>
      <c r="X49" s="32"/>
      <c r="Y49" s="32"/>
      <c r="Z49" s="32"/>
      <c r="AA49" s="32"/>
      <c r="AB49" s="32"/>
      <c r="AC49" s="32"/>
      <c r="AD49" s="33"/>
      <c r="AE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>
        <f>SUM(AG49:AV49)</f>
        <v>0</v>
      </c>
    </row>
    <row r="50" spans="1:49" ht="12.75" customHeight="1" hidden="1">
      <c r="A50" s="190"/>
      <c r="B50" s="23"/>
      <c r="C50" s="150"/>
      <c r="D50" s="22">
        <v>0</v>
      </c>
      <c r="E50" s="285"/>
      <c r="F50" s="285"/>
      <c r="G50" s="22">
        <v>0</v>
      </c>
      <c r="H50" s="8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59">
        <f t="shared" si="7"/>
        <v>0</v>
      </c>
      <c r="U50" s="161">
        <f t="shared" si="8"/>
      </c>
      <c r="V50" s="162"/>
      <c r="W50" s="255"/>
      <c r="X50" s="32"/>
      <c r="Y50" s="32"/>
      <c r="Z50" s="32"/>
      <c r="AA50" s="32"/>
      <c r="AB50" s="32"/>
      <c r="AC50" s="32"/>
      <c r="AD50" s="33"/>
      <c r="AE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 ht="12.75" customHeight="1" hidden="1">
      <c r="A51" s="190"/>
      <c r="B51" s="23"/>
      <c r="C51" s="150" t="s">
        <v>680</v>
      </c>
      <c r="D51" s="22">
        <v>0</v>
      </c>
      <c r="E51" s="285"/>
      <c r="F51" s="285"/>
      <c r="G51" s="22">
        <v>0</v>
      </c>
      <c r="H51" s="86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59">
        <f t="shared" si="7"/>
        <v>0</v>
      </c>
      <c r="U51" s="161">
        <f t="shared" si="8"/>
      </c>
      <c r="V51" s="162"/>
      <c r="W51" s="255"/>
      <c r="X51" s="32"/>
      <c r="Y51" s="32"/>
      <c r="Z51" s="32"/>
      <c r="AA51" s="32"/>
      <c r="AB51" s="32"/>
      <c r="AC51" s="32"/>
      <c r="AD51" s="33"/>
      <c r="AE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 ht="12.75" customHeight="1" hidden="1">
      <c r="A52" s="190"/>
      <c r="B52" s="23"/>
      <c r="C52" s="150" t="s">
        <v>645</v>
      </c>
      <c r="D52" s="22">
        <v>0</v>
      </c>
      <c r="E52" s="285"/>
      <c r="F52" s="284"/>
      <c r="G52" s="22">
        <v>0</v>
      </c>
      <c r="H52" s="86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59">
        <f t="shared" si="7"/>
        <v>0</v>
      </c>
      <c r="U52" s="161">
        <f t="shared" si="8"/>
      </c>
      <c r="V52" s="162"/>
      <c r="W52" s="255"/>
      <c r="X52" s="32"/>
      <c r="Y52" s="158"/>
      <c r="Z52" s="32"/>
      <c r="AA52" s="32"/>
      <c r="AB52" s="32"/>
      <c r="AC52" s="32"/>
      <c r="AD52" s="33"/>
      <c r="AE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>
        <f>SUM(AG52:AV52)</f>
        <v>0</v>
      </c>
    </row>
    <row r="53" spans="1:49" ht="12.75" customHeight="1" hidden="1">
      <c r="A53" s="190"/>
      <c r="B53" s="23" t="s">
        <v>681</v>
      </c>
      <c r="C53" s="150" t="s">
        <v>682</v>
      </c>
      <c r="D53" s="22">
        <v>0.025</v>
      </c>
      <c r="E53" s="285"/>
      <c r="F53" s="284"/>
      <c r="G53" s="22">
        <v>0</v>
      </c>
      <c r="H53" s="86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59">
        <f t="shared" si="7"/>
        <v>0.004166666666666667</v>
      </c>
      <c r="U53" s="161" t="str">
        <f t="shared" si="8"/>
        <v>adjust profile</v>
      </c>
      <c r="V53" s="162"/>
      <c r="W53" s="255"/>
      <c r="X53" s="32"/>
      <c r="Y53" s="32"/>
      <c r="Z53" s="32"/>
      <c r="AA53" s="32"/>
      <c r="AB53" s="32"/>
      <c r="AC53" s="32"/>
      <c r="AD53" s="33"/>
      <c r="AE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>
        <f aca="true" t="shared" si="9" ref="AW53:AW59">SUM(AG53:AV53)</f>
        <v>0</v>
      </c>
    </row>
    <row r="54" spans="1:49" ht="12.75" customHeight="1" hidden="1">
      <c r="A54" s="190"/>
      <c r="B54" s="23"/>
      <c r="C54" s="150" t="s">
        <v>683</v>
      </c>
      <c r="D54" s="22">
        <v>0</v>
      </c>
      <c r="E54" s="285"/>
      <c r="F54" s="284"/>
      <c r="G54" s="22">
        <v>0</v>
      </c>
      <c r="H54" s="86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59">
        <f t="shared" si="7"/>
        <v>0</v>
      </c>
      <c r="U54" s="161">
        <f t="shared" si="8"/>
      </c>
      <c r="V54" s="162"/>
      <c r="W54" s="255"/>
      <c r="X54" s="32"/>
      <c r="Y54" s="32"/>
      <c r="Z54" s="32"/>
      <c r="AA54" s="32"/>
      <c r="AB54" s="32"/>
      <c r="AC54" s="32"/>
      <c r="AD54" s="33"/>
      <c r="AE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>
        <f t="shared" si="9"/>
        <v>0</v>
      </c>
    </row>
    <row r="55" spans="1:49" ht="12.75" customHeight="1" hidden="1">
      <c r="A55" s="190"/>
      <c r="B55" s="23" t="s">
        <v>684</v>
      </c>
      <c r="C55" s="150" t="s">
        <v>685</v>
      </c>
      <c r="D55" s="22">
        <v>0.36</v>
      </c>
      <c r="F55" s="285"/>
      <c r="G55" s="22">
        <v>0</v>
      </c>
      <c r="H55" s="86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59">
        <f t="shared" si="7"/>
        <v>0.06</v>
      </c>
      <c r="U55" s="161" t="str">
        <f t="shared" si="8"/>
        <v>adjust profile</v>
      </c>
      <c r="V55" s="162"/>
      <c r="W55" s="255"/>
      <c r="X55" s="32"/>
      <c r="Y55" s="158"/>
      <c r="Z55" s="32"/>
      <c r="AA55" s="32"/>
      <c r="AB55" s="32"/>
      <c r="AC55" s="32"/>
      <c r="AD55" s="33"/>
      <c r="AE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>
        <f t="shared" si="9"/>
        <v>0</v>
      </c>
    </row>
    <row r="56" spans="1:49" ht="12.75" customHeight="1" hidden="1">
      <c r="A56" s="190"/>
      <c r="B56" s="23" t="s">
        <v>686</v>
      </c>
      <c r="C56" s="150" t="s">
        <v>687</v>
      </c>
      <c r="D56" s="22">
        <v>0.518</v>
      </c>
      <c r="F56" s="284"/>
      <c r="G56" s="22">
        <v>0</v>
      </c>
      <c r="H56" s="86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59">
        <f t="shared" si="7"/>
        <v>0.08633333333333333</v>
      </c>
      <c r="U56" s="161" t="str">
        <f t="shared" si="8"/>
        <v>adjust profile</v>
      </c>
      <c r="V56" s="162"/>
      <c r="W56" s="255"/>
      <c r="X56" s="32"/>
      <c r="Y56" s="158"/>
      <c r="Z56" s="32"/>
      <c r="AA56" s="32"/>
      <c r="AB56" s="32"/>
      <c r="AC56" s="32"/>
      <c r="AD56" s="33"/>
      <c r="AE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>
        <f t="shared" si="9"/>
        <v>0</v>
      </c>
    </row>
    <row r="57" spans="1:49" ht="12.75" customHeight="1" hidden="1">
      <c r="A57" s="190"/>
      <c r="B57" s="23" t="s">
        <v>688</v>
      </c>
      <c r="C57" s="150" t="s">
        <v>689</v>
      </c>
      <c r="D57" s="22">
        <v>0.098</v>
      </c>
      <c r="F57" s="284"/>
      <c r="G57" s="22">
        <v>0</v>
      </c>
      <c r="H57" s="86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59">
        <f t="shared" si="7"/>
        <v>0.016333333333333335</v>
      </c>
      <c r="U57" s="161" t="str">
        <f t="shared" si="8"/>
        <v>adjust profile</v>
      </c>
      <c r="V57" s="162"/>
      <c r="W57" s="255"/>
      <c r="X57" s="32"/>
      <c r="Y57" s="158"/>
      <c r="Z57" s="32"/>
      <c r="AA57" s="32"/>
      <c r="AB57" s="32"/>
      <c r="AC57" s="32"/>
      <c r="AD57" s="33"/>
      <c r="AE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>
        <f t="shared" si="9"/>
        <v>0</v>
      </c>
    </row>
    <row r="58" spans="1:49" ht="12.75" customHeight="1" hidden="1">
      <c r="A58" s="178"/>
      <c r="B58" s="191"/>
      <c r="C58" s="150" t="s">
        <v>658</v>
      </c>
      <c r="D58" s="22">
        <v>0</v>
      </c>
      <c r="E58" s="285"/>
      <c r="F58" s="284"/>
      <c r="G58" s="22">
        <v>0</v>
      </c>
      <c r="H58" s="85">
        <f>SUM(H59:H367)</f>
        <v>0</v>
      </c>
      <c r="I58" s="29">
        <f>SUM(I59:I367)</f>
        <v>0</v>
      </c>
      <c r="J58" s="29">
        <f>SUM(J59:J367)</f>
        <v>0</v>
      </c>
      <c r="K58" s="29">
        <f aca="true" t="shared" si="10" ref="K58:S58">SUM(K59:K367)</f>
        <v>0</v>
      </c>
      <c r="L58" s="29">
        <f t="shared" si="10"/>
        <v>0</v>
      </c>
      <c r="M58" s="29">
        <f t="shared" si="10"/>
        <v>0</v>
      </c>
      <c r="N58" s="29">
        <f t="shared" si="10"/>
        <v>0</v>
      </c>
      <c r="O58" s="29">
        <f t="shared" si="10"/>
        <v>0</v>
      </c>
      <c r="P58" s="29">
        <f t="shared" si="10"/>
        <v>0</v>
      </c>
      <c r="Q58" s="29">
        <f t="shared" si="10"/>
        <v>0</v>
      </c>
      <c r="R58" s="29">
        <f t="shared" si="10"/>
        <v>0</v>
      </c>
      <c r="S58" s="29">
        <f t="shared" si="10"/>
        <v>0</v>
      </c>
      <c r="T58" s="159">
        <f t="shared" si="7"/>
        <v>0</v>
      </c>
      <c r="U58" s="161">
        <f t="shared" si="8"/>
      </c>
      <c r="V58" s="162"/>
      <c r="W58" s="255"/>
      <c r="X58" s="33">
        <f>SUM(X59:X367)</f>
        <v>0</v>
      </c>
      <c r="Y58" s="33">
        <f aca="true" t="shared" si="11" ref="Y58:AE58">SUM(Y59:Y367)</f>
        <v>0</v>
      </c>
      <c r="Z58" s="33">
        <f t="shared" si="11"/>
        <v>0</v>
      </c>
      <c r="AA58" s="33">
        <f t="shared" si="11"/>
        <v>0</v>
      </c>
      <c r="AB58" s="33">
        <f t="shared" si="11"/>
        <v>0</v>
      </c>
      <c r="AC58" s="33">
        <f t="shared" si="11"/>
        <v>0</v>
      </c>
      <c r="AD58" s="33">
        <f t="shared" si="11"/>
        <v>0</v>
      </c>
      <c r="AE58" s="33">
        <f t="shared" si="11"/>
        <v>0</v>
      </c>
      <c r="AG58" s="33">
        <f aca="true" t="shared" si="12" ref="AG58:AV58">SUM(AG59:AG367)</f>
        <v>0</v>
      </c>
      <c r="AH58" s="33">
        <f t="shared" si="12"/>
        <v>0</v>
      </c>
      <c r="AI58" s="33">
        <f t="shared" si="12"/>
        <v>0</v>
      </c>
      <c r="AJ58" s="33">
        <f t="shared" si="12"/>
        <v>0</v>
      </c>
      <c r="AK58" s="33">
        <f t="shared" si="12"/>
        <v>0</v>
      </c>
      <c r="AL58" s="33">
        <f t="shared" si="12"/>
        <v>0</v>
      </c>
      <c r="AM58" s="33">
        <f t="shared" si="12"/>
        <v>0</v>
      </c>
      <c r="AN58" s="33">
        <f t="shared" si="12"/>
        <v>0</v>
      </c>
      <c r="AO58" s="33">
        <f t="shared" si="12"/>
        <v>0</v>
      </c>
      <c r="AP58" s="33">
        <f t="shared" si="12"/>
        <v>0</v>
      </c>
      <c r="AQ58" s="33">
        <f t="shared" si="12"/>
        <v>0</v>
      </c>
      <c r="AR58" s="33">
        <f t="shared" si="12"/>
        <v>0</v>
      </c>
      <c r="AS58" s="33">
        <f t="shared" si="12"/>
        <v>0</v>
      </c>
      <c r="AT58" s="33">
        <f t="shared" si="12"/>
        <v>0</v>
      </c>
      <c r="AU58" s="33">
        <f t="shared" si="12"/>
        <v>0</v>
      </c>
      <c r="AV58" s="33">
        <f t="shared" si="12"/>
        <v>0</v>
      </c>
      <c r="AW58" s="33">
        <f t="shared" si="9"/>
        <v>0</v>
      </c>
    </row>
    <row r="59" spans="2:49" ht="12.75" hidden="1">
      <c r="B59" s="23" t="s">
        <v>690</v>
      </c>
      <c r="C59" s="150" t="s">
        <v>691</v>
      </c>
      <c r="D59" s="22">
        <v>0.455</v>
      </c>
      <c r="F59" s="284"/>
      <c r="G59" s="22">
        <v>0</v>
      </c>
      <c r="H59" s="86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59">
        <f t="shared" si="7"/>
        <v>0.07583333333333334</v>
      </c>
      <c r="U59" s="161" t="str">
        <f t="shared" si="8"/>
        <v>adjust profile</v>
      </c>
      <c r="V59" s="162"/>
      <c r="W59" s="255"/>
      <c r="X59" s="32"/>
      <c r="Y59" s="32"/>
      <c r="Z59" s="32"/>
      <c r="AA59" s="32"/>
      <c r="AB59" s="32"/>
      <c r="AC59" s="32"/>
      <c r="AD59" s="33"/>
      <c r="AE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>
        <f t="shared" si="9"/>
        <v>0</v>
      </c>
    </row>
    <row r="60" spans="2:49" ht="12.75" hidden="1">
      <c r="B60" s="23"/>
      <c r="C60" s="150" t="s">
        <v>666</v>
      </c>
      <c r="D60" s="22">
        <v>0</v>
      </c>
      <c r="G60" s="22">
        <v>0</v>
      </c>
      <c r="H60" s="86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59">
        <f t="shared" si="7"/>
        <v>0</v>
      </c>
      <c r="U60" s="161">
        <f t="shared" si="8"/>
      </c>
      <c r="V60" s="162"/>
      <c r="W60" s="255"/>
      <c r="X60" s="32"/>
      <c r="Y60" s="32"/>
      <c r="Z60" s="32"/>
      <c r="AA60" s="32"/>
      <c r="AB60" s="32"/>
      <c r="AC60" s="32"/>
      <c r="AD60" s="33"/>
      <c r="AE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2:49" ht="12.75" hidden="1">
      <c r="B61" s="23" t="s">
        <v>692</v>
      </c>
      <c r="C61" s="150" t="s">
        <v>693</v>
      </c>
      <c r="D61" s="22">
        <v>1.012</v>
      </c>
      <c r="E61" s="285"/>
      <c r="F61" s="285"/>
      <c r="G61" s="22">
        <v>0</v>
      </c>
      <c r="H61" s="86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59">
        <f t="shared" si="7"/>
        <v>0.16866666666666666</v>
      </c>
      <c r="U61" s="161" t="str">
        <f t="shared" si="8"/>
        <v>adjust profile</v>
      </c>
      <c r="V61" s="162"/>
      <c r="W61" s="255"/>
      <c r="X61" s="32"/>
      <c r="Y61" s="32"/>
      <c r="Z61" s="32"/>
      <c r="AA61" s="32"/>
      <c r="AB61" s="32"/>
      <c r="AC61" s="32"/>
      <c r="AD61" s="33"/>
      <c r="AE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2:49" ht="12.75" hidden="1">
      <c r="B62" s="23"/>
      <c r="C62" s="150" t="s">
        <v>694</v>
      </c>
      <c r="D62" s="22">
        <v>0</v>
      </c>
      <c r="E62" s="285"/>
      <c r="F62" s="285"/>
      <c r="G62" s="22">
        <v>0</v>
      </c>
      <c r="H62" s="86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59">
        <f t="shared" si="7"/>
        <v>0</v>
      </c>
      <c r="U62" s="161">
        <f t="shared" si="8"/>
      </c>
      <c r="V62" s="162"/>
      <c r="W62" s="255"/>
      <c r="X62" s="32"/>
      <c r="Y62" s="32"/>
      <c r="Z62" s="32"/>
      <c r="AA62" s="32"/>
      <c r="AB62" s="32"/>
      <c r="AC62" s="32"/>
      <c r="AD62" s="33"/>
      <c r="AE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 ht="12.75">
      <c r="A63" s="29" t="s">
        <v>205</v>
      </c>
      <c r="B63" s="189" t="s">
        <v>299</v>
      </c>
      <c r="C63" s="150" t="s">
        <v>1159</v>
      </c>
      <c r="D63" s="22">
        <f>SUM(D64:D76)</f>
        <v>1.6500000000000001</v>
      </c>
      <c r="E63" s="285"/>
      <c r="F63" s="285"/>
      <c r="G63" s="22">
        <f>SUM(G64:G76)</f>
        <v>0.023</v>
      </c>
      <c r="H63" s="86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59">
        <f t="shared" si="7"/>
        <v>0.275</v>
      </c>
      <c r="U63" s="161"/>
      <c r="V63" s="162"/>
      <c r="W63" s="255"/>
      <c r="X63" s="32"/>
      <c r="Y63" s="32"/>
      <c r="Z63" s="32"/>
      <c r="AA63" s="32"/>
      <c r="AB63" s="32"/>
      <c r="AC63" s="32"/>
      <c r="AD63" s="33"/>
      <c r="AE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2:49" ht="12.75" hidden="1">
      <c r="B64" s="23" t="s">
        <v>695</v>
      </c>
      <c r="C64" s="150" t="s">
        <v>696</v>
      </c>
      <c r="D64" s="22">
        <v>0.11</v>
      </c>
      <c r="E64" s="285"/>
      <c r="F64" s="285"/>
      <c r="G64" s="22">
        <v>0</v>
      </c>
      <c r="H64" s="86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59">
        <f t="shared" si="7"/>
        <v>0.018333333333333333</v>
      </c>
      <c r="U64" s="161"/>
      <c r="V64" s="162"/>
      <c r="W64" s="255"/>
      <c r="X64" s="32"/>
      <c r="Y64" s="32"/>
      <c r="Z64" s="32"/>
      <c r="AA64" s="32"/>
      <c r="AB64" s="32"/>
      <c r="AC64" s="32"/>
      <c r="AD64" s="33"/>
      <c r="AE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</row>
    <row r="65" spans="2:49" ht="12.75" hidden="1">
      <c r="B65" s="23"/>
      <c r="C65" s="150"/>
      <c r="D65" s="22">
        <v>0</v>
      </c>
      <c r="E65" s="285"/>
      <c r="F65" s="285"/>
      <c r="G65" s="22">
        <v>0</v>
      </c>
      <c r="H65" s="86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59">
        <f t="shared" si="7"/>
        <v>0</v>
      </c>
      <c r="U65" s="161"/>
      <c r="V65" s="162"/>
      <c r="W65" s="255"/>
      <c r="X65" s="32"/>
      <c r="Y65" s="32"/>
      <c r="Z65" s="32"/>
      <c r="AA65" s="32"/>
      <c r="AB65" s="32"/>
      <c r="AC65" s="32"/>
      <c r="AD65" s="33"/>
      <c r="AE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</row>
    <row r="66" spans="2:49" ht="12.75" hidden="1">
      <c r="B66" s="23" t="s">
        <v>697</v>
      </c>
      <c r="C66" s="150" t="s">
        <v>698</v>
      </c>
      <c r="D66" s="22">
        <v>0.044</v>
      </c>
      <c r="E66" s="285"/>
      <c r="F66" s="285"/>
      <c r="G66" s="22">
        <v>0.023</v>
      </c>
      <c r="H66" s="86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59">
        <f t="shared" si="7"/>
        <v>0.007333333333333333</v>
      </c>
      <c r="U66" s="161"/>
      <c r="V66" s="162"/>
      <c r="W66" s="255"/>
      <c r="X66" s="32"/>
      <c r="Y66" s="32"/>
      <c r="Z66" s="32"/>
      <c r="AA66" s="32"/>
      <c r="AB66" s="32"/>
      <c r="AC66" s="32"/>
      <c r="AD66" s="33"/>
      <c r="AE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</row>
    <row r="67" spans="2:49" ht="12.75" hidden="1">
      <c r="B67" s="23" t="s">
        <v>699</v>
      </c>
      <c r="C67" s="150" t="s">
        <v>700</v>
      </c>
      <c r="D67" s="22">
        <v>0.044</v>
      </c>
      <c r="E67" s="285"/>
      <c r="F67" s="285"/>
      <c r="G67" s="22">
        <v>0</v>
      </c>
      <c r="H67" s="86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59">
        <f t="shared" si="7"/>
        <v>0.007333333333333333</v>
      </c>
      <c r="U67" s="161"/>
      <c r="V67" s="162"/>
      <c r="W67" s="255"/>
      <c r="X67" s="32"/>
      <c r="Y67" s="32"/>
      <c r="Z67" s="32"/>
      <c r="AA67" s="32"/>
      <c r="AB67" s="32"/>
      <c r="AC67" s="32"/>
      <c r="AD67" s="33"/>
      <c r="AE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</row>
    <row r="68" spans="2:49" ht="12.75" hidden="1">
      <c r="B68" s="23" t="s">
        <v>701</v>
      </c>
      <c r="C68" s="150" t="s">
        <v>702</v>
      </c>
      <c r="D68" s="22">
        <v>0.044</v>
      </c>
      <c r="E68" s="285"/>
      <c r="F68" s="285"/>
      <c r="G68" s="22">
        <v>0</v>
      </c>
      <c r="H68" s="86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59">
        <f t="shared" si="7"/>
        <v>0.007333333333333333</v>
      </c>
      <c r="U68" s="161"/>
      <c r="V68" s="162"/>
      <c r="W68" s="255"/>
      <c r="X68" s="32"/>
      <c r="Y68" s="32"/>
      <c r="Z68" s="32"/>
      <c r="AA68" s="32"/>
      <c r="AB68" s="32"/>
      <c r="AC68" s="32"/>
      <c r="AD68" s="33"/>
      <c r="AE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</row>
    <row r="69" spans="2:49" ht="12.75" hidden="1">
      <c r="B69" s="23" t="s">
        <v>703</v>
      </c>
      <c r="C69" s="150" t="s">
        <v>704</v>
      </c>
      <c r="D69" s="22">
        <v>0.044</v>
      </c>
      <c r="E69" s="285"/>
      <c r="F69" s="285"/>
      <c r="G69" s="22">
        <v>0</v>
      </c>
      <c r="H69" s="86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59">
        <f t="shared" si="7"/>
        <v>0.007333333333333333</v>
      </c>
      <c r="U69" s="161"/>
      <c r="V69" s="162"/>
      <c r="W69" s="255"/>
      <c r="X69" s="32"/>
      <c r="Y69" s="32"/>
      <c r="Z69" s="32"/>
      <c r="AA69" s="32"/>
      <c r="AB69" s="32"/>
      <c r="AC69" s="32"/>
      <c r="AD69" s="33"/>
      <c r="AE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</row>
    <row r="70" spans="2:49" ht="12.75" hidden="1">
      <c r="B70" s="23" t="s">
        <v>705</v>
      </c>
      <c r="C70" s="150" t="s">
        <v>706</v>
      </c>
      <c r="D70" s="22">
        <v>0.044</v>
      </c>
      <c r="E70" s="285"/>
      <c r="F70" s="285"/>
      <c r="G70" s="22">
        <v>0</v>
      </c>
      <c r="H70" s="86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59">
        <f t="shared" si="7"/>
        <v>0.007333333333333333</v>
      </c>
      <c r="U70" s="161"/>
      <c r="V70" s="162"/>
      <c r="W70" s="255"/>
      <c r="X70" s="32"/>
      <c r="Y70" s="32"/>
      <c r="Z70" s="32"/>
      <c r="AA70" s="32"/>
      <c r="AB70" s="32"/>
      <c r="AC70" s="32"/>
      <c r="AD70" s="33"/>
      <c r="AE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</row>
    <row r="71" spans="2:49" ht="12.75" hidden="1">
      <c r="B71" s="23"/>
      <c r="C71" s="150"/>
      <c r="D71" s="22">
        <v>0</v>
      </c>
      <c r="E71" s="285"/>
      <c r="F71" s="285"/>
      <c r="G71" s="22">
        <v>0</v>
      </c>
      <c r="H71" s="86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59">
        <f t="shared" si="7"/>
        <v>0</v>
      </c>
      <c r="U71" s="161"/>
      <c r="V71" s="162"/>
      <c r="W71" s="255"/>
      <c r="X71" s="32"/>
      <c r="Y71" s="32"/>
      <c r="Z71" s="32"/>
      <c r="AA71" s="32"/>
      <c r="AB71" s="32"/>
      <c r="AC71" s="32"/>
      <c r="AD71" s="33"/>
      <c r="AE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</row>
    <row r="72" spans="2:49" ht="12.75" hidden="1">
      <c r="B72" s="23"/>
      <c r="C72" s="150" t="s">
        <v>707</v>
      </c>
      <c r="D72" s="22">
        <v>0.5</v>
      </c>
      <c r="E72" s="285"/>
      <c r="F72" s="285"/>
      <c r="G72" s="22">
        <v>0</v>
      </c>
      <c r="H72" s="86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59">
        <f t="shared" si="7"/>
        <v>0.08333333333333333</v>
      </c>
      <c r="U72" s="161"/>
      <c r="V72" s="162"/>
      <c r="W72" s="255"/>
      <c r="X72" s="32"/>
      <c r="Y72" s="32"/>
      <c r="Z72" s="32"/>
      <c r="AA72" s="32"/>
      <c r="AB72" s="32"/>
      <c r="AC72" s="32"/>
      <c r="AD72" s="33"/>
      <c r="AE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</row>
    <row r="73" spans="2:49" ht="12.75" hidden="1">
      <c r="B73" s="23"/>
      <c r="C73" s="150" t="s">
        <v>708</v>
      </c>
      <c r="D73" s="22">
        <v>0.17</v>
      </c>
      <c r="E73" s="285"/>
      <c r="F73" s="285"/>
      <c r="G73" s="22">
        <v>0</v>
      </c>
      <c r="H73" s="86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59">
        <f t="shared" si="7"/>
        <v>0.028333333333333335</v>
      </c>
      <c r="U73" s="161"/>
      <c r="V73" s="162"/>
      <c r="W73" s="255"/>
      <c r="X73" s="32"/>
      <c r="Y73" s="32"/>
      <c r="Z73" s="32"/>
      <c r="AA73" s="32"/>
      <c r="AB73" s="32"/>
      <c r="AC73" s="32"/>
      <c r="AD73" s="33"/>
      <c r="AE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</row>
    <row r="74" spans="2:49" ht="12.75" hidden="1">
      <c r="B74" s="23"/>
      <c r="C74" s="150" t="s">
        <v>709</v>
      </c>
      <c r="D74" s="22">
        <v>0.55</v>
      </c>
      <c r="E74" s="285"/>
      <c r="F74" s="285"/>
      <c r="G74" s="22">
        <v>0</v>
      </c>
      <c r="H74" s="86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59">
        <f t="shared" si="7"/>
        <v>0.09166666666666667</v>
      </c>
      <c r="U74" s="161"/>
      <c r="V74" s="162"/>
      <c r="W74" s="255"/>
      <c r="X74" s="32"/>
      <c r="Y74" s="32"/>
      <c r="Z74" s="32"/>
      <c r="AA74" s="32"/>
      <c r="AB74" s="32"/>
      <c r="AC74" s="32"/>
      <c r="AD74" s="33"/>
      <c r="AE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</row>
    <row r="75" spans="2:49" ht="12.75" hidden="1">
      <c r="B75" s="23"/>
      <c r="C75" s="150" t="s">
        <v>710</v>
      </c>
      <c r="D75" s="22">
        <v>0</v>
      </c>
      <c r="E75" s="285"/>
      <c r="F75" s="285"/>
      <c r="G75" s="22">
        <v>0</v>
      </c>
      <c r="H75" s="86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59">
        <f t="shared" si="7"/>
        <v>0</v>
      </c>
      <c r="U75" s="161"/>
      <c r="V75" s="162"/>
      <c r="W75" s="255"/>
      <c r="X75" s="32"/>
      <c r="Y75" s="32"/>
      <c r="Z75" s="32"/>
      <c r="AA75" s="32"/>
      <c r="AB75" s="32"/>
      <c r="AC75" s="32"/>
      <c r="AD75" s="33"/>
      <c r="AE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</row>
    <row r="76" spans="2:49" ht="12.75" hidden="1">
      <c r="B76" s="23"/>
      <c r="C76" s="150" t="s">
        <v>711</v>
      </c>
      <c r="D76" s="22">
        <v>0.1</v>
      </c>
      <c r="E76" s="285"/>
      <c r="F76" s="285"/>
      <c r="G76" s="22">
        <v>0</v>
      </c>
      <c r="H76" s="86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59">
        <f t="shared" si="7"/>
        <v>0.016666666666666666</v>
      </c>
      <c r="U76" s="161"/>
      <c r="V76" s="162"/>
      <c r="W76" s="255"/>
      <c r="X76" s="32"/>
      <c r="Y76" s="32"/>
      <c r="Z76" s="32"/>
      <c r="AA76" s="32"/>
      <c r="AB76" s="32"/>
      <c r="AC76" s="32"/>
      <c r="AD76" s="33"/>
      <c r="AE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</row>
    <row r="77" spans="2:49" ht="12.75" hidden="1">
      <c r="B77" s="23"/>
      <c r="C77" s="150"/>
      <c r="D77" s="22"/>
      <c r="E77" s="285"/>
      <c r="F77" s="285"/>
      <c r="G77" s="22"/>
      <c r="H77" s="86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59">
        <f t="shared" si="7"/>
        <v>0</v>
      </c>
      <c r="U77" s="161"/>
      <c r="V77" s="162"/>
      <c r="W77" s="255"/>
      <c r="X77" s="32"/>
      <c r="Y77" s="32"/>
      <c r="Z77" s="32"/>
      <c r="AA77" s="32"/>
      <c r="AB77" s="32"/>
      <c r="AC77" s="32"/>
      <c r="AD77" s="33"/>
      <c r="AE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</row>
    <row r="78" spans="1:49" ht="12.75">
      <c r="A78" s="29" t="s">
        <v>206</v>
      </c>
      <c r="B78" s="189" t="s">
        <v>299</v>
      </c>
      <c r="C78" s="150" t="s">
        <v>1160</v>
      </c>
      <c r="D78" s="22">
        <f>SUM(D79:D124)</f>
        <v>4.126999999999999</v>
      </c>
      <c r="E78" s="285"/>
      <c r="F78" s="285"/>
      <c r="G78" s="22">
        <f>SUM(G79:G124)</f>
        <v>0.6910000000000001</v>
      </c>
      <c r="H78" s="86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59">
        <f t="shared" si="7"/>
        <v>0.6878333333333332</v>
      </c>
      <c r="U78" s="161"/>
      <c r="V78" s="162"/>
      <c r="W78" s="255"/>
      <c r="X78" s="32"/>
      <c r="Y78" s="32"/>
      <c r="Z78" s="32"/>
      <c r="AA78" s="32"/>
      <c r="AB78" s="32"/>
      <c r="AC78" s="32"/>
      <c r="AD78" s="33"/>
      <c r="AE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</row>
    <row r="79" spans="2:49" ht="12.75" hidden="1">
      <c r="B79" t="s">
        <v>712</v>
      </c>
      <c r="C79" s="196" t="s">
        <v>713</v>
      </c>
      <c r="D79" s="200">
        <v>1.233</v>
      </c>
      <c r="E79" s="287"/>
      <c r="F79" s="287"/>
      <c r="G79" s="200">
        <v>0.136</v>
      </c>
      <c r="H79" s="86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59">
        <f t="shared" si="7"/>
        <v>0.20550000000000002</v>
      </c>
      <c r="U79" s="161"/>
      <c r="V79" s="162"/>
      <c r="W79" s="255"/>
      <c r="X79" s="32"/>
      <c r="Y79" s="32"/>
      <c r="Z79" s="32"/>
      <c r="AA79" s="32"/>
      <c r="AB79" s="32"/>
      <c r="AC79" s="32"/>
      <c r="AD79" s="33"/>
      <c r="AE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</row>
    <row r="80" spans="2:49" ht="12.75" hidden="1">
      <c r="B80" t="s">
        <v>714</v>
      </c>
      <c r="C80" s="196" t="s">
        <v>715</v>
      </c>
      <c r="D80" s="200">
        <v>0</v>
      </c>
      <c r="E80" s="287"/>
      <c r="F80" s="287"/>
      <c r="G80" s="200">
        <v>0</v>
      </c>
      <c r="H80" s="86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59">
        <f t="shared" si="7"/>
        <v>0</v>
      </c>
      <c r="U80" s="161"/>
      <c r="V80" s="162"/>
      <c r="W80" s="255"/>
      <c r="X80" s="32"/>
      <c r="Y80" s="32"/>
      <c r="Z80" s="32"/>
      <c r="AA80" s="32"/>
      <c r="AB80" s="32"/>
      <c r="AC80" s="32"/>
      <c r="AD80" s="33"/>
      <c r="AE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</row>
    <row r="81" spans="2:49" ht="12.75" hidden="1">
      <c r="B81" t="s">
        <v>716</v>
      </c>
      <c r="C81" s="196" t="s">
        <v>717</v>
      </c>
      <c r="D81" s="200">
        <v>0.847</v>
      </c>
      <c r="E81" s="287"/>
      <c r="F81" s="287"/>
      <c r="G81" s="200">
        <v>0.067</v>
      </c>
      <c r="H81" s="86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59">
        <f t="shared" si="7"/>
        <v>0.14116666666666666</v>
      </c>
      <c r="U81" s="161"/>
      <c r="V81" s="162"/>
      <c r="W81" s="255"/>
      <c r="X81" s="32"/>
      <c r="Y81" s="32"/>
      <c r="Z81" s="32"/>
      <c r="AA81" s="32"/>
      <c r="AB81" s="32"/>
      <c r="AC81" s="32"/>
      <c r="AD81" s="33"/>
      <c r="AE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</row>
    <row r="82" spans="2:49" ht="12.75" hidden="1">
      <c r="B82"/>
      <c r="C82" s="196" t="s">
        <v>718</v>
      </c>
      <c r="D82" s="200">
        <v>0.06</v>
      </c>
      <c r="E82" s="287"/>
      <c r="F82" s="287"/>
      <c r="G82" s="200">
        <v>0</v>
      </c>
      <c r="H82" s="86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59">
        <f t="shared" si="7"/>
        <v>0.01</v>
      </c>
      <c r="U82" s="161"/>
      <c r="V82" s="162"/>
      <c r="W82" s="255"/>
      <c r="X82" s="32"/>
      <c r="Y82" s="32"/>
      <c r="Z82" s="32"/>
      <c r="AA82" s="32"/>
      <c r="AB82" s="32"/>
      <c r="AC82" s="32"/>
      <c r="AD82" s="33"/>
      <c r="AE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</row>
    <row r="83" spans="2:49" ht="12.75" hidden="1">
      <c r="B83" t="s">
        <v>719</v>
      </c>
      <c r="C83" s="196" t="s">
        <v>720</v>
      </c>
      <c r="D83" s="200">
        <v>0.005</v>
      </c>
      <c r="E83" s="287"/>
      <c r="F83" s="287"/>
      <c r="G83" s="200">
        <v>0</v>
      </c>
      <c r="H83" s="86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59">
        <f t="shared" si="7"/>
        <v>0.0008333333333333334</v>
      </c>
      <c r="U83" s="161"/>
      <c r="V83" s="162"/>
      <c r="W83" s="255"/>
      <c r="X83" s="32"/>
      <c r="Y83" s="32"/>
      <c r="Z83" s="32"/>
      <c r="AA83" s="32"/>
      <c r="AB83" s="32"/>
      <c r="AC83" s="32"/>
      <c r="AD83" s="33"/>
      <c r="AE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</row>
    <row r="84" spans="2:49" ht="12.75" hidden="1">
      <c r="B84" t="s">
        <v>721</v>
      </c>
      <c r="C84" s="196" t="s">
        <v>722</v>
      </c>
      <c r="D84" s="200">
        <v>0.009</v>
      </c>
      <c r="E84" s="287"/>
      <c r="F84" s="287"/>
      <c r="G84" s="200">
        <v>0</v>
      </c>
      <c r="H84" s="86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59">
        <f t="shared" si="7"/>
        <v>0.0014999999999999998</v>
      </c>
      <c r="U84" s="161"/>
      <c r="V84" s="162"/>
      <c r="W84" s="255"/>
      <c r="X84" s="32"/>
      <c r="Y84" s="32"/>
      <c r="Z84" s="32"/>
      <c r="AA84" s="32"/>
      <c r="AB84" s="32"/>
      <c r="AC84" s="32"/>
      <c r="AD84" s="33"/>
      <c r="AE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</row>
    <row r="85" spans="2:49" ht="12.75" hidden="1">
      <c r="B85" t="s">
        <v>723</v>
      </c>
      <c r="C85" s="196" t="s">
        <v>724</v>
      </c>
      <c r="D85" s="200">
        <v>0</v>
      </c>
      <c r="E85" s="287"/>
      <c r="F85" s="287"/>
      <c r="G85" s="200">
        <v>0</v>
      </c>
      <c r="H85" s="86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59">
        <f aca="true" t="shared" si="13" ref="T85:T148">D85/12*2</f>
        <v>0</v>
      </c>
      <c r="U85" s="161"/>
      <c r="V85" s="162"/>
      <c r="W85" s="255"/>
      <c r="X85" s="32"/>
      <c r="Y85" s="32"/>
      <c r="Z85" s="32"/>
      <c r="AA85" s="32"/>
      <c r="AB85" s="32"/>
      <c r="AC85" s="32"/>
      <c r="AD85" s="33"/>
      <c r="AE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</row>
    <row r="86" spans="2:49" ht="12.75" hidden="1">
      <c r="B86" t="s">
        <v>725</v>
      </c>
      <c r="C86" s="196" t="s">
        <v>726</v>
      </c>
      <c r="D86" s="200">
        <v>0</v>
      </c>
      <c r="E86" s="287"/>
      <c r="F86" s="287"/>
      <c r="G86" s="200">
        <v>0</v>
      </c>
      <c r="H86" s="86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59">
        <f t="shared" si="13"/>
        <v>0</v>
      </c>
      <c r="U86" s="161"/>
      <c r="V86" s="162"/>
      <c r="W86" s="255"/>
      <c r="X86" s="32"/>
      <c r="Y86" s="32"/>
      <c r="Z86" s="32"/>
      <c r="AA86" s="32"/>
      <c r="AB86" s="32"/>
      <c r="AC86" s="32"/>
      <c r="AD86" s="33"/>
      <c r="AE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</row>
    <row r="87" spans="2:49" ht="12.75" hidden="1">
      <c r="B87" t="s">
        <v>727</v>
      </c>
      <c r="C87" s="196" t="s">
        <v>728</v>
      </c>
      <c r="D87" s="200">
        <v>0</v>
      </c>
      <c r="E87" s="287"/>
      <c r="F87" s="287"/>
      <c r="G87" s="200">
        <v>0</v>
      </c>
      <c r="H87" s="86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59">
        <f t="shared" si="13"/>
        <v>0</v>
      </c>
      <c r="U87" s="161"/>
      <c r="V87" s="162"/>
      <c r="W87" s="255"/>
      <c r="X87" s="32"/>
      <c r="Y87" s="32"/>
      <c r="Z87" s="32"/>
      <c r="AA87" s="32"/>
      <c r="AB87" s="32"/>
      <c r="AC87" s="32"/>
      <c r="AD87" s="33"/>
      <c r="AE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</row>
    <row r="88" spans="2:49" ht="12.75" hidden="1">
      <c r="B88" t="s">
        <v>729</v>
      </c>
      <c r="C88" s="196" t="s">
        <v>730</v>
      </c>
      <c r="D88" s="200">
        <v>0.18</v>
      </c>
      <c r="E88" s="287"/>
      <c r="F88" s="287"/>
      <c r="G88" s="200">
        <v>0.03</v>
      </c>
      <c r="H88" s="86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59">
        <f t="shared" si="13"/>
        <v>0.03</v>
      </c>
      <c r="U88" s="161"/>
      <c r="V88" s="162"/>
      <c r="W88" s="255"/>
      <c r="X88" s="32"/>
      <c r="Y88" s="32"/>
      <c r="Z88" s="32"/>
      <c r="AA88" s="32"/>
      <c r="AB88" s="32"/>
      <c r="AC88" s="32"/>
      <c r="AD88" s="33"/>
      <c r="AE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</row>
    <row r="89" spans="2:49" ht="12.75" hidden="1">
      <c r="B89"/>
      <c r="C89" s="196" t="s">
        <v>731</v>
      </c>
      <c r="D89" s="200">
        <v>0.001</v>
      </c>
      <c r="E89" s="287"/>
      <c r="F89" s="287"/>
      <c r="G89" s="200">
        <v>0</v>
      </c>
      <c r="H89" s="86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59">
        <f t="shared" si="13"/>
        <v>0.00016666666666666666</v>
      </c>
      <c r="U89" s="161"/>
      <c r="V89" s="162"/>
      <c r="W89" s="255"/>
      <c r="X89" s="32"/>
      <c r="Y89" s="32"/>
      <c r="Z89" s="32"/>
      <c r="AA89" s="32"/>
      <c r="AB89" s="32"/>
      <c r="AC89" s="32"/>
      <c r="AD89" s="33"/>
      <c r="AE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</row>
    <row r="90" spans="2:49" ht="12.75" hidden="1">
      <c r="B90" t="s">
        <v>732</v>
      </c>
      <c r="C90" s="196" t="s">
        <v>733</v>
      </c>
      <c r="D90" s="200">
        <v>0</v>
      </c>
      <c r="E90" s="287"/>
      <c r="F90" s="287"/>
      <c r="G90" s="200">
        <v>0</v>
      </c>
      <c r="H90" s="86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59">
        <f t="shared" si="13"/>
        <v>0</v>
      </c>
      <c r="U90" s="161"/>
      <c r="V90" s="162"/>
      <c r="W90" s="255"/>
      <c r="X90" s="32"/>
      <c r="Y90" s="32"/>
      <c r="Z90" s="32"/>
      <c r="AA90" s="32"/>
      <c r="AB90" s="32"/>
      <c r="AC90" s="32"/>
      <c r="AD90" s="33"/>
      <c r="AE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</row>
    <row r="91" spans="2:49" ht="12.75" hidden="1">
      <c r="B91" t="s">
        <v>734</v>
      </c>
      <c r="C91" s="196" t="s">
        <v>735</v>
      </c>
      <c r="D91" s="200">
        <v>0</v>
      </c>
      <c r="E91" s="287"/>
      <c r="F91" s="287"/>
      <c r="G91" s="200">
        <v>0</v>
      </c>
      <c r="H91" s="86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59">
        <f t="shared" si="13"/>
        <v>0</v>
      </c>
      <c r="U91" s="161"/>
      <c r="V91" s="162"/>
      <c r="W91" s="255"/>
      <c r="X91" s="32"/>
      <c r="Y91" s="32"/>
      <c r="Z91" s="32"/>
      <c r="AA91" s="32"/>
      <c r="AB91" s="32"/>
      <c r="AC91" s="32"/>
      <c r="AD91" s="33"/>
      <c r="AE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</row>
    <row r="92" spans="2:49" ht="12.75" hidden="1">
      <c r="B92" t="s">
        <v>736</v>
      </c>
      <c r="C92" s="196" t="s">
        <v>737</v>
      </c>
      <c r="D92" s="200">
        <v>0</v>
      </c>
      <c r="E92" s="287"/>
      <c r="F92" s="287"/>
      <c r="G92" s="200">
        <v>0</v>
      </c>
      <c r="H92" s="86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59">
        <f t="shared" si="13"/>
        <v>0</v>
      </c>
      <c r="U92" s="161"/>
      <c r="V92" s="162"/>
      <c r="W92" s="255"/>
      <c r="X92" s="32"/>
      <c r="Y92" s="32"/>
      <c r="Z92" s="32"/>
      <c r="AA92" s="32"/>
      <c r="AB92" s="32"/>
      <c r="AC92" s="32"/>
      <c r="AD92" s="33"/>
      <c r="AE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</row>
    <row r="93" spans="2:49" ht="12.75" hidden="1">
      <c r="B93"/>
      <c r="C93" s="196" t="s">
        <v>738</v>
      </c>
      <c r="D93" s="200">
        <v>0</v>
      </c>
      <c r="E93" s="287"/>
      <c r="F93" s="287"/>
      <c r="G93" s="200">
        <v>0</v>
      </c>
      <c r="H93" s="86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59">
        <f t="shared" si="13"/>
        <v>0</v>
      </c>
      <c r="U93" s="161"/>
      <c r="V93" s="162"/>
      <c r="W93" s="255"/>
      <c r="X93" s="32"/>
      <c r="Y93" s="32"/>
      <c r="Z93" s="32"/>
      <c r="AA93" s="32"/>
      <c r="AB93" s="32"/>
      <c r="AC93" s="32"/>
      <c r="AD93" s="33"/>
      <c r="AE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</row>
    <row r="94" spans="2:49" ht="12.75" hidden="1">
      <c r="B94" t="s">
        <v>604</v>
      </c>
      <c r="C94" s="196"/>
      <c r="D94" s="200">
        <v>0</v>
      </c>
      <c r="E94" s="287"/>
      <c r="F94" s="287"/>
      <c r="G94" s="200">
        <v>0</v>
      </c>
      <c r="H94" s="86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59">
        <f t="shared" si="13"/>
        <v>0</v>
      </c>
      <c r="U94" s="161"/>
      <c r="V94" s="162"/>
      <c r="W94" s="255"/>
      <c r="X94" s="32"/>
      <c r="Y94" s="32"/>
      <c r="Z94" s="32"/>
      <c r="AA94" s="32"/>
      <c r="AB94" s="32"/>
      <c r="AC94" s="32"/>
      <c r="AD94" s="33"/>
      <c r="AE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</row>
    <row r="95" spans="2:49" ht="12.75" hidden="1">
      <c r="B95"/>
      <c r="C95" s="196" t="s">
        <v>739</v>
      </c>
      <c r="D95" s="200">
        <v>0</v>
      </c>
      <c r="E95" s="287"/>
      <c r="F95" s="287"/>
      <c r="G95" s="200">
        <v>0</v>
      </c>
      <c r="H95" s="86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59">
        <f t="shared" si="13"/>
        <v>0</v>
      </c>
      <c r="U95" s="161"/>
      <c r="V95" s="162"/>
      <c r="W95" s="255"/>
      <c r="X95" s="32"/>
      <c r="Y95" s="32"/>
      <c r="Z95" s="32"/>
      <c r="AA95" s="32"/>
      <c r="AB95" s="32"/>
      <c r="AC95" s="32"/>
      <c r="AD95" s="33"/>
      <c r="AE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</row>
    <row r="96" spans="2:49" ht="12.75" hidden="1">
      <c r="B96"/>
      <c r="C96" s="196" t="s">
        <v>740</v>
      </c>
      <c r="D96" s="200">
        <v>0</v>
      </c>
      <c r="E96" s="287"/>
      <c r="F96" s="287"/>
      <c r="G96" s="200">
        <v>0</v>
      </c>
      <c r="H96" s="86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59">
        <f t="shared" si="13"/>
        <v>0</v>
      </c>
      <c r="U96" s="161"/>
      <c r="V96" s="162"/>
      <c r="W96" s="255"/>
      <c r="X96" s="32"/>
      <c r="Y96" s="32"/>
      <c r="Z96" s="32"/>
      <c r="AA96" s="32"/>
      <c r="AB96" s="32"/>
      <c r="AC96" s="32"/>
      <c r="AD96" s="33"/>
      <c r="AE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</row>
    <row r="97" spans="2:49" ht="12.75" hidden="1">
      <c r="B97" t="s">
        <v>741</v>
      </c>
      <c r="C97" s="196" t="s">
        <v>742</v>
      </c>
      <c r="D97" s="200">
        <v>0.002</v>
      </c>
      <c r="E97" s="287"/>
      <c r="F97" s="287"/>
      <c r="G97" s="200">
        <v>0</v>
      </c>
      <c r="H97" s="86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59">
        <f t="shared" si="13"/>
        <v>0.0003333333333333333</v>
      </c>
      <c r="U97" s="161"/>
      <c r="V97" s="162"/>
      <c r="W97" s="255"/>
      <c r="X97" s="32"/>
      <c r="Y97" s="32"/>
      <c r="Z97" s="32"/>
      <c r="AA97" s="32"/>
      <c r="AB97" s="32"/>
      <c r="AC97" s="32"/>
      <c r="AD97" s="33"/>
      <c r="AE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</row>
    <row r="98" spans="2:49" ht="12.75" hidden="1">
      <c r="B98" t="s">
        <v>743</v>
      </c>
      <c r="C98" s="196" t="s">
        <v>744</v>
      </c>
      <c r="D98" s="200">
        <v>0.008</v>
      </c>
      <c r="E98" s="287"/>
      <c r="F98" s="287"/>
      <c r="G98" s="200">
        <v>0</v>
      </c>
      <c r="H98" s="86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59">
        <f t="shared" si="13"/>
        <v>0.0013333333333333333</v>
      </c>
      <c r="U98" s="161"/>
      <c r="V98" s="162"/>
      <c r="W98" s="255"/>
      <c r="X98" s="32"/>
      <c r="Y98" s="32"/>
      <c r="Z98" s="32"/>
      <c r="AA98" s="32"/>
      <c r="AB98" s="32"/>
      <c r="AC98" s="32"/>
      <c r="AD98" s="33"/>
      <c r="AE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</row>
    <row r="99" spans="2:49" ht="12.75" hidden="1">
      <c r="B99" t="s">
        <v>745</v>
      </c>
      <c r="C99" s="196" t="s">
        <v>746</v>
      </c>
      <c r="D99" s="200">
        <v>0.004</v>
      </c>
      <c r="E99" s="287"/>
      <c r="F99" s="287"/>
      <c r="G99" s="200">
        <v>0</v>
      </c>
      <c r="H99" s="86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59">
        <f t="shared" si="13"/>
        <v>0.0006666666666666666</v>
      </c>
      <c r="U99" s="161"/>
      <c r="V99" s="162"/>
      <c r="W99" s="255"/>
      <c r="X99" s="32"/>
      <c r="Y99" s="32"/>
      <c r="Z99" s="32"/>
      <c r="AA99" s="32"/>
      <c r="AB99" s="32"/>
      <c r="AC99" s="32"/>
      <c r="AD99" s="33"/>
      <c r="AE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</row>
    <row r="100" spans="2:49" ht="12.75" hidden="1">
      <c r="B100" t="s">
        <v>747</v>
      </c>
      <c r="C100" s="196" t="s">
        <v>748</v>
      </c>
      <c r="D100" s="200">
        <v>0.002</v>
      </c>
      <c r="E100" s="287"/>
      <c r="F100" s="287"/>
      <c r="G100" s="200">
        <v>0</v>
      </c>
      <c r="H100" s="86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59">
        <f t="shared" si="13"/>
        <v>0.0003333333333333333</v>
      </c>
      <c r="U100" s="161"/>
      <c r="V100" s="162"/>
      <c r="W100" s="255"/>
      <c r="X100" s="32"/>
      <c r="Y100" s="32"/>
      <c r="Z100" s="32"/>
      <c r="AA100" s="32"/>
      <c r="AB100" s="32"/>
      <c r="AC100" s="32"/>
      <c r="AD100" s="33"/>
      <c r="AE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</row>
    <row r="101" spans="2:49" ht="12.75" hidden="1">
      <c r="B101"/>
      <c r="C101" s="196" t="s">
        <v>749</v>
      </c>
      <c r="D101" s="200">
        <v>0</v>
      </c>
      <c r="E101" s="287"/>
      <c r="F101" s="287"/>
      <c r="G101" s="200">
        <v>0</v>
      </c>
      <c r="H101" s="8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59">
        <f t="shared" si="13"/>
        <v>0</v>
      </c>
      <c r="U101" s="161"/>
      <c r="V101" s="162"/>
      <c r="W101" s="255"/>
      <c r="X101" s="32"/>
      <c r="Y101" s="32"/>
      <c r="Z101" s="32"/>
      <c r="AA101" s="32"/>
      <c r="AB101" s="32"/>
      <c r="AC101" s="32"/>
      <c r="AD101" s="33"/>
      <c r="AE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</row>
    <row r="102" spans="2:49" ht="12.75" hidden="1">
      <c r="B102"/>
      <c r="C102" s="196" t="s">
        <v>750</v>
      </c>
      <c r="D102" s="200">
        <v>0.001</v>
      </c>
      <c r="E102" s="287"/>
      <c r="F102" s="287"/>
      <c r="G102" s="200">
        <v>0</v>
      </c>
      <c r="H102" s="86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59">
        <f t="shared" si="13"/>
        <v>0.00016666666666666666</v>
      </c>
      <c r="U102" s="161"/>
      <c r="V102" s="162"/>
      <c r="W102" s="255"/>
      <c r="X102" s="32"/>
      <c r="Y102" s="32"/>
      <c r="Z102" s="32"/>
      <c r="AA102" s="32"/>
      <c r="AB102" s="32"/>
      <c r="AC102" s="32"/>
      <c r="AD102" s="33"/>
      <c r="AE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</row>
    <row r="103" spans="2:49" ht="12.75" hidden="1">
      <c r="B103"/>
      <c r="C103" s="196" t="s">
        <v>751</v>
      </c>
      <c r="D103" s="200">
        <v>0</v>
      </c>
      <c r="E103" s="287"/>
      <c r="F103" s="287"/>
      <c r="G103" s="200">
        <v>0</v>
      </c>
      <c r="H103" s="86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59">
        <f t="shared" si="13"/>
        <v>0</v>
      </c>
      <c r="U103" s="161"/>
      <c r="V103" s="162"/>
      <c r="W103" s="255"/>
      <c r="X103" s="32"/>
      <c r="Y103" s="32"/>
      <c r="Z103" s="32"/>
      <c r="AA103" s="32"/>
      <c r="AB103" s="32"/>
      <c r="AC103" s="32"/>
      <c r="AD103" s="33"/>
      <c r="AE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</row>
    <row r="104" spans="2:49" ht="12.75" hidden="1">
      <c r="B104"/>
      <c r="C104" s="196" t="s">
        <v>752</v>
      </c>
      <c r="D104" s="200">
        <v>0</v>
      </c>
      <c r="E104" s="287"/>
      <c r="F104" s="287"/>
      <c r="G104" s="200">
        <v>0</v>
      </c>
      <c r="H104" s="8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59">
        <f t="shared" si="13"/>
        <v>0</v>
      </c>
      <c r="U104" s="161"/>
      <c r="V104" s="162"/>
      <c r="W104" s="255"/>
      <c r="X104" s="32"/>
      <c r="Y104" s="32"/>
      <c r="Z104" s="32"/>
      <c r="AA104" s="32"/>
      <c r="AB104" s="32"/>
      <c r="AC104" s="32"/>
      <c r="AD104" s="33"/>
      <c r="AE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</row>
    <row r="105" spans="2:49" ht="12.75" hidden="1">
      <c r="B105"/>
      <c r="C105" s="196"/>
      <c r="D105" s="200">
        <v>0</v>
      </c>
      <c r="E105" s="287"/>
      <c r="F105" s="287"/>
      <c r="G105" s="200">
        <v>0</v>
      </c>
      <c r="H105" s="8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59">
        <f t="shared" si="13"/>
        <v>0</v>
      </c>
      <c r="U105" s="161"/>
      <c r="V105" s="162"/>
      <c r="W105" s="255"/>
      <c r="X105" s="32"/>
      <c r="Y105" s="32"/>
      <c r="Z105" s="32"/>
      <c r="AA105" s="32"/>
      <c r="AB105" s="32"/>
      <c r="AC105" s="32"/>
      <c r="AD105" s="33"/>
      <c r="AE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</row>
    <row r="106" spans="2:49" ht="12.75" hidden="1">
      <c r="B106"/>
      <c r="C106" s="196" t="s">
        <v>753</v>
      </c>
      <c r="D106" s="200">
        <v>0</v>
      </c>
      <c r="E106" s="287"/>
      <c r="F106" s="287"/>
      <c r="G106" s="200">
        <v>0</v>
      </c>
      <c r="H106" s="8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59">
        <f t="shared" si="13"/>
        <v>0</v>
      </c>
      <c r="U106" s="161"/>
      <c r="V106" s="162"/>
      <c r="W106" s="255"/>
      <c r="X106" s="32"/>
      <c r="Y106" s="32"/>
      <c r="Z106" s="32"/>
      <c r="AA106" s="32"/>
      <c r="AB106" s="32"/>
      <c r="AC106" s="32"/>
      <c r="AD106" s="33"/>
      <c r="AE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</row>
    <row r="107" spans="2:49" ht="12.75" hidden="1">
      <c r="B107" t="s">
        <v>754</v>
      </c>
      <c r="C107" s="196" t="s">
        <v>755</v>
      </c>
      <c r="D107" s="200">
        <v>0.001</v>
      </c>
      <c r="E107" s="287"/>
      <c r="F107" s="287"/>
      <c r="G107" s="200">
        <v>0</v>
      </c>
      <c r="H107" s="8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59">
        <f t="shared" si="13"/>
        <v>0.00016666666666666666</v>
      </c>
      <c r="U107" s="161"/>
      <c r="V107" s="162"/>
      <c r="W107" s="255"/>
      <c r="X107" s="32"/>
      <c r="Y107" s="32"/>
      <c r="Z107" s="32"/>
      <c r="AA107" s="32"/>
      <c r="AB107" s="32"/>
      <c r="AC107" s="32"/>
      <c r="AD107" s="33"/>
      <c r="AE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</row>
    <row r="108" spans="2:49" ht="12.75" hidden="1">
      <c r="B108"/>
      <c r="C108" s="196"/>
      <c r="D108" s="200">
        <v>0</v>
      </c>
      <c r="E108" s="287"/>
      <c r="F108" s="287"/>
      <c r="G108" s="200">
        <v>0</v>
      </c>
      <c r="H108" s="86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59">
        <f t="shared" si="13"/>
        <v>0</v>
      </c>
      <c r="U108" s="161"/>
      <c r="V108" s="162"/>
      <c r="W108" s="255"/>
      <c r="X108" s="32"/>
      <c r="Y108" s="32"/>
      <c r="Z108" s="32"/>
      <c r="AA108" s="32"/>
      <c r="AB108" s="32"/>
      <c r="AC108" s="32"/>
      <c r="AD108" s="33"/>
      <c r="AE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</row>
    <row r="109" spans="2:49" ht="12.75" hidden="1">
      <c r="B109" t="s">
        <v>756</v>
      </c>
      <c r="C109" s="196" t="s">
        <v>757</v>
      </c>
      <c r="D109" s="200">
        <v>0.002</v>
      </c>
      <c r="E109" s="287"/>
      <c r="F109" s="287"/>
      <c r="G109" s="200">
        <v>0</v>
      </c>
      <c r="H109" s="86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59">
        <f t="shared" si="13"/>
        <v>0.0003333333333333333</v>
      </c>
      <c r="U109" s="161"/>
      <c r="V109" s="162"/>
      <c r="W109" s="255"/>
      <c r="X109" s="32"/>
      <c r="Y109" s="32"/>
      <c r="Z109" s="32"/>
      <c r="AA109" s="32"/>
      <c r="AB109" s="32"/>
      <c r="AC109" s="32"/>
      <c r="AD109" s="33"/>
      <c r="AE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</row>
    <row r="110" spans="2:49" ht="12.75" hidden="1">
      <c r="B110" t="s">
        <v>758</v>
      </c>
      <c r="C110" s="196" t="s">
        <v>759</v>
      </c>
      <c r="D110" s="200">
        <v>0.002</v>
      </c>
      <c r="E110" s="287"/>
      <c r="F110" s="287"/>
      <c r="G110" s="200">
        <v>0</v>
      </c>
      <c r="H110" s="86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59">
        <f t="shared" si="13"/>
        <v>0.0003333333333333333</v>
      </c>
      <c r="U110" s="161"/>
      <c r="V110" s="162"/>
      <c r="W110" s="255"/>
      <c r="X110" s="32"/>
      <c r="Y110" s="32"/>
      <c r="Z110" s="32"/>
      <c r="AA110" s="32"/>
      <c r="AB110" s="32"/>
      <c r="AC110" s="32"/>
      <c r="AD110" s="33"/>
      <c r="AE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</row>
    <row r="111" spans="2:49" ht="12.75" hidden="1">
      <c r="B111" t="s">
        <v>760</v>
      </c>
      <c r="C111" s="196" t="s">
        <v>761</v>
      </c>
      <c r="D111" s="200">
        <v>0.003</v>
      </c>
      <c r="E111" s="287"/>
      <c r="F111" s="287"/>
      <c r="G111" s="200">
        <v>0</v>
      </c>
      <c r="H111" s="86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59">
        <f t="shared" si="13"/>
        <v>0.0005</v>
      </c>
      <c r="U111" s="161"/>
      <c r="V111" s="162"/>
      <c r="W111" s="255"/>
      <c r="X111" s="32"/>
      <c r="Y111" s="32"/>
      <c r="Z111" s="32"/>
      <c r="AA111" s="32"/>
      <c r="AB111" s="32"/>
      <c r="AC111" s="32"/>
      <c r="AD111" s="33"/>
      <c r="AE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</row>
    <row r="112" spans="2:49" ht="12.75" hidden="1">
      <c r="B112" t="s">
        <v>762</v>
      </c>
      <c r="C112" s="196" t="s">
        <v>763</v>
      </c>
      <c r="D112" s="200">
        <v>0.002</v>
      </c>
      <c r="E112" s="287"/>
      <c r="F112" s="287"/>
      <c r="G112" s="200">
        <v>0</v>
      </c>
      <c r="H112" s="86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59">
        <f t="shared" si="13"/>
        <v>0.0003333333333333333</v>
      </c>
      <c r="U112" s="161"/>
      <c r="V112" s="162"/>
      <c r="W112" s="255"/>
      <c r="X112" s="32"/>
      <c r="Y112" s="32"/>
      <c r="Z112" s="32"/>
      <c r="AA112" s="32"/>
      <c r="AB112" s="32"/>
      <c r="AC112" s="32"/>
      <c r="AD112" s="33"/>
      <c r="AE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</row>
    <row r="113" spans="2:49" ht="12.75" hidden="1">
      <c r="B113"/>
      <c r="C113" s="196"/>
      <c r="D113" s="200">
        <v>0</v>
      </c>
      <c r="E113" s="287"/>
      <c r="F113" s="287"/>
      <c r="G113" s="200">
        <v>0</v>
      </c>
      <c r="H113" s="86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59">
        <f t="shared" si="13"/>
        <v>0</v>
      </c>
      <c r="U113" s="161"/>
      <c r="V113" s="162"/>
      <c r="W113" s="255"/>
      <c r="X113" s="32"/>
      <c r="Y113" s="32"/>
      <c r="Z113" s="32"/>
      <c r="AA113" s="32"/>
      <c r="AB113" s="32"/>
      <c r="AC113" s="32"/>
      <c r="AD113" s="33"/>
      <c r="AE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</row>
    <row r="114" spans="2:49" ht="12.75" hidden="1">
      <c r="B114" t="s">
        <v>764</v>
      </c>
      <c r="C114" s="196" t="s">
        <v>765</v>
      </c>
      <c r="D114" s="200">
        <v>0.311</v>
      </c>
      <c r="E114" s="287"/>
      <c r="F114" s="287"/>
      <c r="G114" s="200">
        <v>0</v>
      </c>
      <c r="H114" s="86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59">
        <f t="shared" si="13"/>
        <v>0.051833333333333335</v>
      </c>
      <c r="U114" s="161"/>
      <c r="V114" s="162"/>
      <c r="W114" s="255"/>
      <c r="X114" s="32"/>
      <c r="Y114" s="32"/>
      <c r="Z114" s="32"/>
      <c r="AA114" s="32"/>
      <c r="AB114" s="32"/>
      <c r="AC114" s="32"/>
      <c r="AD114" s="33"/>
      <c r="AE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</row>
    <row r="115" spans="2:49" ht="12.75" hidden="1">
      <c r="B115" t="s">
        <v>766</v>
      </c>
      <c r="C115" s="196" t="s">
        <v>767</v>
      </c>
      <c r="D115" s="200">
        <v>0.078</v>
      </c>
      <c r="E115" s="287"/>
      <c r="F115" s="287"/>
      <c r="G115" s="200">
        <v>0.183</v>
      </c>
      <c r="H115" s="86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59">
        <f t="shared" si="13"/>
        <v>0.013</v>
      </c>
      <c r="U115" s="161"/>
      <c r="V115" s="162"/>
      <c r="W115" s="255"/>
      <c r="X115" s="32"/>
      <c r="Y115" s="32"/>
      <c r="Z115" s="32"/>
      <c r="AA115" s="32"/>
      <c r="AB115" s="32"/>
      <c r="AC115" s="32"/>
      <c r="AD115" s="33"/>
      <c r="AE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</row>
    <row r="116" spans="2:49" ht="12.75" hidden="1">
      <c r="B116" t="s">
        <v>768</v>
      </c>
      <c r="C116" s="196" t="s">
        <v>769</v>
      </c>
      <c r="D116" s="200">
        <v>0.419</v>
      </c>
      <c r="E116" s="287"/>
      <c r="F116" s="287"/>
      <c r="G116" s="200">
        <v>0.128</v>
      </c>
      <c r="H116" s="86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59">
        <f t="shared" si="13"/>
        <v>0.06983333333333333</v>
      </c>
      <c r="U116" s="161"/>
      <c r="V116" s="162"/>
      <c r="W116" s="255"/>
      <c r="X116" s="32"/>
      <c r="Y116" s="32"/>
      <c r="Z116" s="32"/>
      <c r="AA116" s="32"/>
      <c r="AB116" s="32"/>
      <c r="AC116" s="32"/>
      <c r="AD116" s="33"/>
      <c r="AE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</row>
    <row r="117" spans="2:49" ht="12.75" hidden="1">
      <c r="B117"/>
      <c r="C117" s="196"/>
      <c r="D117" s="200">
        <v>0</v>
      </c>
      <c r="E117" s="287"/>
      <c r="F117" s="287"/>
      <c r="G117" s="200">
        <v>0</v>
      </c>
      <c r="H117" s="86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59">
        <f t="shared" si="13"/>
        <v>0</v>
      </c>
      <c r="U117" s="161"/>
      <c r="V117" s="162"/>
      <c r="W117" s="255"/>
      <c r="X117" s="32"/>
      <c r="Y117" s="32"/>
      <c r="Z117" s="32"/>
      <c r="AA117" s="32"/>
      <c r="AB117" s="32"/>
      <c r="AC117" s="32"/>
      <c r="AD117" s="33"/>
      <c r="AE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</row>
    <row r="118" spans="2:49" ht="12.75" hidden="1">
      <c r="B118" t="s">
        <v>770</v>
      </c>
      <c r="C118" s="196" t="s">
        <v>771</v>
      </c>
      <c r="D118" s="200">
        <v>0.176</v>
      </c>
      <c r="E118" s="287"/>
      <c r="F118" s="287"/>
      <c r="G118" s="200">
        <v>0.11</v>
      </c>
      <c r="H118" s="86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59">
        <f t="shared" si="13"/>
        <v>0.029333333333333333</v>
      </c>
      <c r="U118" s="161"/>
      <c r="V118" s="162"/>
      <c r="W118" s="255"/>
      <c r="X118" s="32"/>
      <c r="Y118" s="32"/>
      <c r="Z118" s="32"/>
      <c r="AA118" s="32"/>
      <c r="AB118" s="32"/>
      <c r="AC118" s="32"/>
      <c r="AD118" s="33"/>
      <c r="AE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</row>
    <row r="119" spans="2:49" ht="12.75" hidden="1">
      <c r="B119" t="s">
        <v>772</v>
      </c>
      <c r="C119" s="196" t="s">
        <v>773</v>
      </c>
      <c r="D119" s="200">
        <v>0.069</v>
      </c>
      <c r="E119" s="287"/>
      <c r="F119" s="287"/>
      <c r="G119" s="200">
        <v>0.038</v>
      </c>
      <c r="H119" s="86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59">
        <f t="shared" si="13"/>
        <v>0.011500000000000002</v>
      </c>
      <c r="U119" s="161"/>
      <c r="V119" s="162"/>
      <c r="W119" s="255"/>
      <c r="X119" s="32"/>
      <c r="Y119" s="32"/>
      <c r="Z119" s="32"/>
      <c r="AA119" s="32"/>
      <c r="AB119" s="32"/>
      <c r="AC119" s="32"/>
      <c r="AD119" s="33"/>
      <c r="AE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</row>
    <row r="120" spans="2:49" ht="12.75" hidden="1">
      <c r="B120" t="s">
        <v>774</v>
      </c>
      <c r="C120" s="196" t="s">
        <v>775</v>
      </c>
      <c r="D120" s="200">
        <v>0</v>
      </c>
      <c r="E120" s="287"/>
      <c r="F120" s="287"/>
      <c r="G120" s="200">
        <v>0</v>
      </c>
      <c r="H120" s="86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59">
        <f t="shared" si="13"/>
        <v>0</v>
      </c>
      <c r="U120" s="161"/>
      <c r="V120" s="162"/>
      <c r="W120" s="255"/>
      <c r="X120" s="32"/>
      <c r="Y120" s="32"/>
      <c r="Z120" s="32"/>
      <c r="AA120" s="32"/>
      <c r="AB120" s="32"/>
      <c r="AC120" s="32"/>
      <c r="AD120" s="33"/>
      <c r="AE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</row>
    <row r="121" spans="2:49" ht="12.75" hidden="1">
      <c r="B121"/>
      <c r="C121" s="196"/>
      <c r="D121" s="200">
        <v>0</v>
      </c>
      <c r="E121" s="287"/>
      <c r="F121" s="287"/>
      <c r="G121" s="200">
        <v>0</v>
      </c>
      <c r="H121" s="86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59">
        <f t="shared" si="13"/>
        <v>0</v>
      </c>
      <c r="U121" s="161"/>
      <c r="V121" s="162"/>
      <c r="W121" s="255"/>
      <c r="X121" s="32"/>
      <c r="Y121" s="32"/>
      <c r="Z121" s="32"/>
      <c r="AA121" s="32"/>
      <c r="AB121" s="32"/>
      <c r="AC121" s="32"/>
      <c r="AD121" s="33"/>
      <c r="AE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</row>
    <row r="122" spans="2:49" ht="12.75" hidden="1">
      <c r="B122" t="s">
        <v>776</v>
      </c>
      <c r="C122" s="196" t="s">
        <v>777</v>
      </c>
      <c r="D122" s="200">
        <v>0.374</v>
      </c>
      <c r="E122" s="287"/>
      <c r="F122" s="287"/>
      <c r="G122" s="200">
        <v>0</v>
      </c>
      <c r="H122" s="86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59">
        <f t="shared" si="13"/>
        <v>0.06233333333333333</v>
      </c>
      <c r="U122" s="161"/>
      <c r="V122" s="162"/>
      <c r="W122" s="255"/>
      <c r="X122" s="32"/>
      <c r="Y122" s="32"/>
      <c r="Z122" s="32"/>
      <c r="AA122" s="32"/>
      <c r="AB122" s="32"/>
      <c r="AC122" s="32"/>
      <c r="AD122" s="33"/>
      <c r="AE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</row>
    <row r="123" spans="2:49" ht="12.75" hidden="1">
      <c r="B123"/>
      <c r="C123" s="196"/>
      <c r="D123" s="200">
        <v>0</v>
      </c>
      <c r="E123" s="287"/>
      <c r="F123" s="287"/>
      <c r="G123" s="200">
        <v>0</v>
      </c>
      <c r="H123" s="86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59">
        <f t="shared" si="13"/>
        <v>0</v>
      </c>
      <c r="U123" s="161"/>
      <c r="V123" s="162"/>
      <c r="W123" s="255"/>
      <c r="X123" s="32"/>
      <c r="Y123" s="32"/>
      <c r="Z123" s="32"/>
      <c r="AA123" s="32"/>
      <c r="AB123" s="32"/>
      <c r="AC123" s="32"/>
      <c r="AD123" s="33"/>
      <c r="AE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</row>
    <row r="124" spans="2:49" ht="12.75" hidden="1">
      <c r="B124" t="s">
        <v>778</v>
      </c>
      <c r="C124" s="196" t="s">
        <v>779</v>
      </c>
      <c r="D124" s="200">
        <v>0.338</v>
      </c>
      <c r="E124" s="287"/>
      <c r="F124" s="287"/>
      <c r="G124" s="200">
        <v>-0.001</v>
      </c>
      <c r="H124" s="86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59">
        <f t="shared" si="13"/>
        <v>0.05633333333333334</v>
      </c>
      <c r="U124" s="161"/>
      <c r="V124" s="162"/>
      <c r="W124" s="255"/>
      <c r="X124" s="32"/>
      <c r="Y124" s="32"/>
      <c r="Z124" s="32"/>
      <c r="AA124" s="32"/>
      <c r="AB124" s="32"/>
      <c r="AC124" s="32"/>
      <c r="AD124" s="33"/>
      <c r="AE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</row>
    <row r="125" spans="1:49" ht="12.75">
      <c r="A125" s="29" t="s">
        <v>207</v>
      </c>
      <c r="B125" s="189" t="s">
        <v>299</v>
      </c>
      <c r="C125" s="196" t="s">
        <v>1161</v>
      </c>
      <c r="D125" s="200">
        <f>SUM(D126:D149)</f>
        <v>0.013</v>
      </c>
      <c r="E125" s="287"/>
      <c r="F125" s="287"/>
      <c r="G125" s="200">
        <f>SUM(G126:G149)</f>
        <v>0</v>
      </c>
      <c r="H125" s="86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59">
        <f t="shared" si="13"/>
        <v>0.0021666666666666666</v>
      </c>
      <c r="U125" s="161"/>
      <c r="V125" s="162"/>
      <c r="W125" s="255"/>
      <c r="X125" s="32"/>
      <c r="Y125" s="32"/>
      <c r="Z125" s="32"/>
      <c r="AA125" s="32"/>
      <c r="AB125" s="32"/>
      <c r="AC125" s="32"/>
      <c r="AD125" s="33"/>
      <c r="AE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</row>
    <row r="126" spans="2:49" ht="12.75" hidden="1">
      <c r="B126" t="s">
        <v>829</v>
      </c>
      <c r="C126" s="196" t="s">
        <v>830</v>
      </c>
      <c r="D126" s="200">
        <v>0</v>
      </c>
      <c r="E126" s="287"/>
      <c r="F126" s="287"/>
      <c r="G126" s="200">
        <v>0</v>
      </c>
      <c r="H126" s="86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59">
        <f t="shared" si="13"/>
        <v>0</v>
      </c>
      <c r="U126" s="161"/>
      <c r="V126" s="162"/>
      <c r="W126" s="255"/>
      <c r="X126" s="32"/>
      <c r="Y126" s="32"/>
      <c r="Z126" s="32"/>
      <c r="AA126" s="32"/>
      <c r="AB126" s="32"/>
      <c r="AC126" s="32"/>
      <c r="AD126" s="33"/>
      <c r="AE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</row>
    <row r="127" spans="2:49" ht="12.75" hidden="1">
      <c r="B127" t="s">
        <v>831</v>
      </c>
      <c r="C127" s="196" t="s">
        <v>832</v>
      </c>
      <c r="D127" s="200">
        <v>0</v>
      </c>
      <c r="E127" s="287"/>
      <c r="F127" s="287"/>
      <c r="G127" s="200">
        <v>0</v>
      </c>
      <c r="H127" s="86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59">
        <f t="shared" si="13"/>
        <v>0</v>
      </c>
      <c r="U127" s="161"/>
      <c r="V127" s="162"/>
      <c r="W127" s="255"/>
      <c r="X127" s="32"/>
      <c r="Y127" s="32"/>
      <c r="Z127" s="32"/>
      <c r="AA127" s="32"/>
      <c r="AB127" s="32"/>
      <c r="AC127" s="32"/>
      <c r="AD127" s="33"/>
      <c r="AE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</row>
    <row r="128" spans="2:49" ht="12.75" hidden="1">
      <c r="B128" t="s">
        <v>833</v>
      </c>
      <c r="C128" s="196" t="s">
        <v>834</v>
      </c>
      <c r="D128" s="200">
        <v>0</v>
      </c>
      <c r="E128" s="287"/>
      <c r="F128" s="287"/>
      <c r="G128" s="200">
        <v>0</v>
      </c>
      <c r="H128" s="86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59">
        <f t="shared" si="13"/>
        <v>0</v>
      </c>
      <c r="U128" s="161"/>
      <c r="V128" s="162"/>
      <c r="W128" s="255"/>
      <c r="X128" s="32"/>
      <c r="Y128" s="32"/>
      <c r="Z128" s="32"/>
      <c r="AA128" s="32"/>
      <c r="AB128" s="32"/>
      <c r="AC128" s="32"/>
      <c r="AD128" s="33"/>
      <c r="AE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</row>
    <row r="129" spans="2:49" ht="12.75" hidden="1">
      <c r="B129" t="s">
        <v>835</v>
      </c>
      <c r="C129" s="196" t="s">
        <v>836</v>
      </c>
      <c r="D129" s="200">
        <v>0</v>
      </c>
      <c r="E129" s="287"/>
      <c r="F129" s="287"/>
      <c r="G129" s="200">
        <v>0</v>
      </c>
      <c r="H129" s="86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59">
        <f t="shared" si="13"/>
        <v>0</v>
      </c>
      <c r="U129" s="161"/>
      <c r="V129" s="162"/>
      <c r="W129" s="255"/>
      <c r="X129" s="32"/>
      <c r="Y129" s="32"/>
      <c r="Z129" s="32"/>
      <c r="AA129" s="32"/>
      <c r="AB129" s="32"/>
      <c r="AC129" s="32"/>
      <c r="AD129" s="33"/>
      <c r="AE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</row>
    <row r="130" spans="2:49" ht="12.75" hidden="1">
      <c r="B130" t="s">
        <v>837</v>
      </c>
      <c r="C130" s="196" t="s">
        <v>838</v>
      </c>
      <c r="D130" s="200">
        <v>0</v>
      </c>
      <c r="E130" s="287"/>
      <c r="F130" s="287"/>
      <c r="G130" s="200">
        <v>0</v>
      </c>
      <c r="H130" s="86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59">
        <f t="shared" si="13"/>
        <v>0</v>
      </c>
      <c r="U130" s="161"/>
      <c r="V130" s="162"/>
      <c r="W130" s="255"/>
      <c r="X130" s="32"/>
      <c r="Y130" s="32"/>
      <c r="Z130" s="32"/>
      <c r="AA130" s="32"/>
      <c r="AB130" s="32"/>
      <c r="AC130" s="32"/>
      <c r="AD130" s="33"/>
      <c r="AE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</row>
    <row r="131" spans="2:49" ht="12.75" hidden="1">
      <c r="B131" t="s">
        <v>839</v>
      </c>
      <c r="C131" s="196" t="s">
        <v>840</v>
      </c>
      <c r="D131" s="200">
        <v>0</v>
      </c>
      <c r="E131" s="287"/>
      <c r="F131" s="287"/>
      <c r="G131" s="200">
        <v>0</v>
      </c>
      <c r="H131" s="86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59">
        <f t="shared" si="13"/>
        <v>0</v>
      </c>
      <c r="U131" s="161"/>
      <c r="V131" s="162"/>
      <c r="W131" s="255"/>
      <c r="X131" s="32"/>
      <c r="Y131" s="32"/>
      <c r="Z131" s="32"/>
      <c r="AA131" s="32"/>
      <c r="AB131" s="32"/>
      <c r="AC131" s="32"/>
      <c r="AD131" s="33"/>
      <c r="AE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</row>
    <row r="132" spans="2:49" ht="12.75" hidden="1">
      <c r="B132" t="s">
        <v>841</v>
      </c>
      <c r="C132" s="196" t="s">
        <v>842</v>
      </c>
      <c r="D132" s="200">
        <v>0</v>
      </c>
      <c r="E132" s="287"/>
      <c r="F132" s="287"/>
      <c r="G132" s="200">
        <v>0</v>
      </c>
      <c r="H132" s="86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59">
        <f t="shared" si="13"/>
        <v>0</v>
      </c>
      <c r="U132" s="161"/>
      <c r="V132" s="162"/>
      <c r="W132" s="255"/>
      <c r="X132" s="32"/>
      <c r="Y132" s="32"/>
      <c r="Z132" s="32"/>
      <c r="AA132" s="32"/>
      <c r="AB132" s="32"/>
      <c r="AC132" s="32"/>
      <c r="AD132" s="33"/>
      <c r="AE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</row>
    <row r="133" spans="2:49" ht="12.75" hidden="1">
      <c r="B133" t="s">
        <v>843</v>
      </c>
      <c r="C133" s="196" t="s">
        <v>844</v>
      </c>
      <c r="D133" s="200">
        <v>0</v>
      </c>
      <c r="E133" s="287"/>
      <c r="F133" s="287"/>
      <c r="G133" s="200">
        <v>0</v>
      </c>
      <c r="H133" s="86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59">
        <f t="shared" si="13"/>
        <v>0</v>
      </c>
      <c r="U133" s="161"/>
      <c r="V133" s="162"/>
      <c r="W133" s="255"/>
      <c r="X133" s="32"/>
      <c r="Y133" s="32"/>
      <c r="Z133" s="32"/>
      <c r="AA133" s="32"/>
      <c r="AB133" s="32"/>
      <c r="AC133" s="32"/>
      <c r="AD133" s="33"/>
      <c r="AE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</row>
    <row r="134" spans="2:49" ht="12.75" hidden="1">
      <c r="B134" t="s">
        <v>845</v>
      </c>
      <c r="C134" s="196" t="s">
        <v>846</v>
      </c>
      <c r="D134" s="200">
        <v>0</v>
      </c>
      <c r="E134" s="287"/>
      <c r="F134" s="287"/>
      <c r="G134" s="200">
        <v>0</v>
      </c>
      <c r="H134" s="86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59">
        <f t="shared" si="13"/>
        <v>0</v>
      </c>
      <c r="U134" s="161"/>
      <c r="V134" s="162"/>
      <c r="W134" s="255"/>
      <c r="X134" s="32"/>
      <c r="Y134" s="32"/>
      <c r="Z134" s="32"/>
      <c r="AA134" s="32"/>
      <c r="AB134" s="32"/>
      <c r="AC134" s="32"/>
      <c r="AD134" s="33"/>
      <c r="AE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</row>
    <row r="135" spans="2:49" ht="12.75" hidden="1">
      <c r="B135" t="s">
        <v>847</v>
      </c>
      <c r="C135" s="196" t="s">
        <v>848</v>
      </c>
      <c r="D135" s="200">
        <v>0</v>
      </c>
      <c r="E135" s="287"/>
      <c r="F135" s="287"/>
      <c r="G135" s="200">
        <v>0</v>
      </c>
      <c r="H135" s="86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59">
        <f t="shared" si="13"/>
        <v>0</v>
      </c>
      <c r="U135" s="161"/>
      <c r="V135" s="162"/>
      <c r="W135" s="255"/>
      <c r="X135" s="32"/>
      <c r="Y135" s="32"/>
      <c r="Z135" s="32"/>
      <c r="AA135" s="32"/>
      <c r="AB135" s="32"/>
      <c r="AC135" s="32"/>
      <c r="AD135" s="33"/>
      <c r="AE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</row>
    <row r="136" spans="2:49" ht="12.75" hidden="1">
      <c r="B136" t="s">
        <v>849</v>
      </c>
      <c r="C136" s="196" t="s">
        <v>850</v>
      </c>
      <c r="D136" s="200">
        <v>0</v>
      </c>
      <c r="E136" s="287"/>
      <c r="F136" s="287"/>
      <c r="G136" s="200">
        <v>0</v>
      </c>
      <c r="H136" s="86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59">
        <f t="shared" si="13"/>
        <v>0</v>
      </c>
      <c r="U136" s="161"/>
      <c r="V136" s="162"/>
      <c r="W136" s="255"/>
      <c r="X136" s="32"/>
      <c r="Y136" s="32"/>
      <c r="Z136" s="32"/>
      <c r="AA136" s="32"/>
      <c r="AB136" s="32"/>
      <c r="AC136" s="32"/>
      <c r="AD136" s="33"/>
      <c r="AE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</row>
    <row r="137" spans="2:49" ht="12.75" hidden="1">
      <c r="B137" t="s">
        <v>851</v>
      </c>
      <c r="C137" s="196" t="s">
        <v>852</v>
      </c>
      <c r="D137" s="200">
        <v>0</v>
      </c>
      <c r="E137" s="287"/>
      <c r="F137" s="287"/>
      <c r="G137" s="200">
        <v>0</v>
      </c>
      <c r="H137" s="86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59">
        <f t="shared" si="13"/>
        <v>0</v>
      </c>
      <c r="U137" s="161"/>
      <c r="V137" s="162"/>
      <c r="W137" s="255"/>
      <c r="X137" s="32"/>
      <c r="Y137" s="32"/>
      <c r="Z137" s="32"/>
      <c r="AA137" s="32"/>
      <c r="AB137" s="32"/>
      <c r="AC137" s="32"/>
      <c r="AD137" s="33"/>
      <c r="AE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</row>
    <row r="138" spans="2:49" ht="12.75" hidden="1">
      <c r="B138" t="s">
        <v>853</v>
      </c>
      <c r="C138" s="196" t="s">
        <v>854</v>
      </c>
      <c r="D138" s="200">
        <v>0</v>
      </c>
      <c r="E138" s="287"/>
      <c r="F138" s="287"/>
      <c r="G138" s="200">
        <v>0</v>
      </c>
      <c r="H138" s="86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59">
        <f t="shared" si="13"/>
        <v>0</v>
      </c>
      <c r="U138" s="161"/>
      <c r="V138" s="162"/>
      <c r="W138" s="255"/>
      <c r="X138" s="32"/>
      <c r="Y138" s="32"/>
      <c r="Z138" s="32"/>
      <c r="AA138" s="32"/>
      <c r="AB138" s="32"/>
      <c r="AC138" s="32"/>
      <c r="AD138" s="33"/>
      <c r="AE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</row>
    <row r="139" spans="2:49" ht="12.75" hidden="1">
      <c r="B139" t="s">
        <v>855</v>
      </c>
      <c r="C139" s="196" t="s">
        <v>856</v>
      </c>
      <c r="D139" s="200">
        <v>0</v>
      </c>
      <c r="E139" s="287"/>
      <c r="F139" s="287"/>
      <c r="G139" s="200">
        <v>0</v>
      </c>
      <c r="H139" s="86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59">
        <f t="shared" si="13"/>
        <v>0</v>
      </c>
      <c r="U139" s="161"/>
      <c r="V139" s="162"/>
      <c r="W139" s="255"/>
      <c r="X139" s="32"/>
      <c r="Y139" s="32"/>
      <c r="Z139" s="32"/>
      <c r="AA139" s="32"/>
      <c r="AB139" s="32"/>
      <c r="AC139" s="32"/>
      <c r="AD139" s="33"/>
      <c r="AE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</row>
    <row r="140" spans="2:49" ht="12.75" hidden="1">
      <c r="B140" t="s">
        <v>857</v>
      </c>
      <c r="C140" s="196" t="s">
        <v>858</v>
      </c>
      <c r="D140" s="200">
        <v>0</v>
      </c>
      <c r="E140" s="287"/>
      <c r="F140" s="287"/>
      <c r="G140" s="200">
        <v>0</v>
      </c>
      <c r="H140" s="86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59">
        <f t="shared" si="13"/>
        <v>0</v>
      </c>
      <c r="U140" s="161"/>
      <c r="V140" s="162"/>
      <c r="W140" s="255"/>
      <c r="X140" s="32"/>
      <c r="Y140" s="32"/>
      <c r="Z140" s="32"/>
      <c r="AA140" s="32"/>
      <c r="AB140" s="32"/>
      <c r="AC140" s="32"/>
      <c r="AD140" s="33"/>
      <c r="AE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</row>
    <row r="141" spans="2:49" ht="12.75" hidden="1">
      <c r="B141" t="s">
        <v>859</v>
      </c>
      <c r="C141" s="196" t="s">
        <v>860</v>
      </c>
      <c r="D141" s="200">
        <v>0</v>
      </c>
      <c r="E141" s="287"/>
      <c r="F141" s="287"/>
      <c r="G141" s="200">
        <v>0</v>
      </c>
      <c r="H141" s="86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59">
        <f t="shared" si="13"/>
        <v>0</v>
      </c>
      <c r="U141" s="161"/>
      <c r="V141" s="162"/>
      <c r="W141" s="255"/>
      <c r="X141" s="32"/>
      <c r="Y141" s="32"/>
      <c r="Z141" s="32"/>
      <c r="AA141" s="32"/>
      <c r="AB141" s="32"/>
      <c r="AC141" s="32"/>
      <c r="AD141" s="33"/>
      <c r="AE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</row>
    <row r="142" spans="2:49" ht="12.75" hidden="1">
      <c r="B142" t="s">
        <v>861</v>
      </c>
      <c r="C142" s="196" t="s">
        <v>862</v>
      </c>
      <c r="D142" s="200">
        <v>0</v>
      </c>
      <c r="E142" s="287"/>
      <c r="F142" s="287"/>
      <c r="G142" s="200">
        <v>0</v>
      </c>
      <c r="H142" s="86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59">
        <f t="shared" si="13"/>
        <v>0</v>
      </c>
      <c r="U142" s="161"/>
      <c r="V142" s="162"/>
      <c r="W142" s="255"/>
      <c r="X142" s="32"/>
      <c r="Y142" s="32"/>
      <c r="Z142" s="32"/>
      <c r="AA142" s="32"/>
      <c r="AB142" s="32"/>
      <c r="AC142" s="32"/>
      <c r="AD142" s="33"/>
      <c r="AE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</row>
    <row r="143" spans="2:49" ht="12.75" hidden="1">
      <c r="B143" t="s">
        <v>863</v>
      </c>
      <c r="C143" s="196" t="s">
        <v>864</v>
      </c>
      <c r="D143" s="200">
        <v>0</v>
      </c>
      <c r="E143" s="287"/>
      <c r="F143" s="287"/>
      <c r="G143" s="200">
        <v>0</v>
      </c>
      <c r="H143" s="86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59">
        <f t="shared" si="13"/>
        <v>0</v>
      </c>
      <c r="U143" s="161"/>
      <c r="V143" s="162"/>
      <c r="W143" s="255"/>
      <c r="X143" s="32"/>
      <c r="Y143" s="32"/>
      <c r="Z143" s="32"/>
      <c r="AA143" s="32"/>
      <c r="AB143" s="32"/>
      <c r="AC143" s="32"/>
      <c r="AD143" s="33"/>
      <c r="AE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</row>
    <row r="144" spans="2:49" ht="12.75" hidden="1">
      <c r="B144" t="s">
        <v>865</v>
      </c>
      <c r="C144" s="196" t="s">
        <v>866</v>
      </c>
      <c r="D144" s="200">
        <v>0</v>
      </c>
      <c r="E144" s="287"/>
      <c r="F144" s="287"/>
      <c r="G144" s="200">
        <v>0</v>
      </c>
      <c r="H144" s="86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59">
        <f t="shared" si="13"/>
        <v>0</v>
      </c>
      <c r="U144" s="161"/>
      <c r="V144" s="162"/>
      <c r="W144" s="255"/>
      <c r="X144" s="32"/>
      <c r="Y144" s="32"/>
      <c r="Z144" s="32"/>
      <c r="AA144" s="32"/>
      <c r="AB144" s="32"/>
      <c r="AC144" s="32"/>
      <c r="AD144" s="33"/>
      <c r="AE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</row>
    <row r="145" spans="2:49" ht="12.75" hidden="1">
      <c r="B145" t="s">
        <v>867</v>
      </c>
      <c r="C145" s="196" t="s">
        <v>868</v>
      </c>
      <c r="D145" s="200">
        <v>0</v>
      </c>
      <c r="E145" s="287"/>
      <c r="F145" s="287"/>
      <c r="G145" s="200">
        <v>0</v>
      </c>
      <c r="H145" s="86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59">
        <f t="shared" si="13"/>
        <v>0</v>
      </c>
      <c r="U145" s="161"/>
      <c r="V145" s="162"/>
      <c r="W145" s="255"/>
      <c r="X145" s="32"/>
      <c r="Y145" s="32"/>
      <c r="Z145" s="32"/>
      <c r="AA145" s="32"/>
      <c r="AB145" s="32"/>
      <c r="AC145" s="32"/>
      <c r="AD145" s="33"/>
      <c r="AE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</row>
    <row r="146" spans="2:49" ht="12.75" hidden="1">
      <c r="B146" t="s">
        <v>869</v>
      </c>
      <c r="C146" s="196" t="s">
        <v>870</v>
      </c>
      <c r="D146" s="200">
        <v>0</v>
      </c>
      <c r="E146" s="287"/>
      <c r="F146" s="287"/>
      <c r="G146" s="200">
        <v>0</v>
      </c>
      <c r="H146" s="86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59">
        <f t="shared" si="13"/>
        <v>0</v>
      </c>
      <c r="U146" s="161"/>
      <c r="V146" s="162"/>
      <c r="W146" s="255"/>
      <c r="X146" s="32"/>
      <c r="Y146" s="32"/>
      <c r="Z146" s="32"/>
      <c r="AA146" s="32"/>
      <c r="AB146" s="32"/>
      <c r="AC146" s="32"/>
      <c r="AD146" s="33"/>
      <c r="AE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</row>
    <row r="147" spans="2:49" ht="12.75" hidden="1">
      <c r="B147" t="s">
        <v>871</v>
      </c>
      <c r="C147" s="196" t="s">
        <v>872</v>
      </c>
      <c r="D147" s="200">
        <v>0</v>
      </c>
      <c r="E147" s="287"/>
      <c r="F147" s="287"/>
      <c r="G147" s="200">
        <v>0</v>
      </c>
      <c r="H147" s="86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59">
        <f t="shared" si="13"/>
        <v>0</v>
      </c>
      <c r="U147" s="161"/>
      <c r="V147" s="162"/>
      <c r="W147" s="255"/>
      <c r="X147" s="32"/>
      <c r="Y147" s="32"/>
      <c r="Z147" s="32"/>
      <c r="AA147" s="32"/>
      <c r="AB147" s="32"/>
      <c r="AC147" s="32"/>
      <c r="AD147" s="33"/>
      <c r="AE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</row>
    <row r="148" spans="2:49" ht="12.75" hidden="1">
      <c r="B148" t="s">
        <v>873</v>
      </c>
      <c r="C148" s="196" t="s">
        <v>874</v>
      </c>
      <c r="D148" s="200">
        <v>0</v>
      </c>
      <c r="E148" s="287"/>
      <c r="F148" s="287"/>
      <c r="G148" s="200">
        <v>0</v>
      </c>
      <c r="H148" s="86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59">
        <f t="shared" si="13"/>
        <v>0</v>
      </c>
      <c r="U148" s="161"/>
      <c r="V148" s="162"/>
      <c r="W148" s="255"/>
      <c r="X148" s="32"/>
      <c r="Y148" s="32"/>
      <c r="Z148" s="32"/>
      <c r="AA148" s="32"/>
      <c r="AB148" s="32"/>
      <c r="AC148" s="32"/>
      <c r="AD148" s="33"/>
      <c r="AE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</row>
    <row r="149" spans="2:49" ht="12.75" hidden="1">
      <c r="B149" t="s">
        <v>875</v>
      </c>
      <c r="C149" s="196" t="s">
        <v>876</v>
      </c>
      <c r="D149" s="200">
        <v>0.013</v>
      </c>
      <c r="E149" s="287"/>
      <c r="F149" s="287"/>
      <c r="G149" s="200">
        <v>0</v>
      </c>
      <c r="H149" s="86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59">
        <f aca="true" t="shared" si="14" ref="T149:T212">D149/12*2</f>
        <v>0.0021666666666666666</v>
      </c>
      <c r="U149" s="161"/>
      <c r="V149" s="162"/>
      <c r="W149" s="255"/>
      <c r="X149" s="32"/>
      <c r="Y149" s="32"/>
      <c r="Z149" s="32"/>
      <c r="AA149" s="32"/>
      <c r="AB149" s="32"/>
      <c r="AC149" s="32"/>
      <c r="AD149" s="33"/>
      <c r="AE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</row>
    <row r="150" spans="1:49" ht="12.75">
      <c r="A150" s="29" t="s">
        <v>208</v>
      </c>
      <c r="B150" s="189" t="s">
        <v>299</v>
      </c>
      <c r="C150" s="196" t="s">
        <v>1162</v>
      </c>
      <c r="D150" s="200">
        <f>SUM(D151:D184)</f>
        <v>0.026</v>
      </c>
      <c r="E150" s="287"/>
      <c r="F150" s="287"/>
      <c r="G150" s="200">
        <f>SUM(G151:G184)</f>
        <v>0.037000000000000005</v>
      </c>
      <c r="H150" s="86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59">
        <f t="shared" si="14"/>
        <v>0.004333333333333333</v>
      </c>
      <c r="U150" s="161"/>
      <c r="V150" s="162"/>
      <c r="W150" s="255"/>
      <c r="X150" s="32"/>
      <c r="Y150" s="32"/>
      <c r="Z150" s="32"/>
      <c r="AA150" s="32"/>
      <c r="AB150" s="32"/>
      <c r="AC150" s="32"/>
      <c r="AD150" s="33"/>
      <c r="AE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</row>
    <row r="151" spans="2:49" ht="12.75" hidden="1">
      <c r="B151" s="270"/>
      <c r="C151" s="272" t="s">
        <v>877</v>
      </c>
      <c r="D151" s="261">
        <v>0</v>
      </c>
      <c r="E151" s="288"/>
      <c r="F151" s="289"/>
      <c r="G151" s="261">
        <v>0</v>
      </c>
      <c r="H151" s="86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59">
        <f t="shared" si="14"/>
        <v>0</v>
      </c>
      <c r="U151" s="161"/>
      <c r="V151" s="162"/>
      <c r="W151" s="255"/>
      <c r="X151" s="32"/>
      <c r="Y151" s="32"/>
      <c r="Z151" s="32"/>
      <c r="AA151" s="32"/>
      <c r="AB151" s="32"/>
      <c r="AC151" s="32"/>
      <c r="AD151" s="33"/>
      <c r="AE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</row>
    <row r="152" spans="2:49" ht="12.75" hidden="1">
      <c r="B152" s="271"/>
      <c r="C152" s="273"/>
      <c r="D152" s="262">
        <v>0</v>
      </c>
      <c r="E152" s="289"/>
      <c r="F152" s="289"/>
      <c r="G152" s="262">
        <v>0</v>
      </c>
      <c r="H152" s="86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59">
        <f t="shared" si="14"/>
        <v>0</v>
      </c>
      <c r="U152" s="161"/>
      <c r="V152" s="162"/>
      <c r="W152" s="255"/>
      <c r="X152" s="32"/>
      <c r="Y152" s="32"/>
      <c r="Z152" s="32"/>
      <c r="AA152" s="32"/>
      <c r="AB152" s="32"/>
      <c r="AC152" s="32"/>
      <c r="AD152" s="33"/>
      <c r="AE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</row>
    <row r="153" spans="2:49" ht="12.75" hidden="1">
      <c r="B153" s="271" t="s">
        <v>878</v>
      </c>
      <c r="C153" s="273" t="s">
        <v>879</v>
      </c>
      <c r="D153" s="262">
        <v>0</v>
      </c>
      <c r="E153" s="289"/>
      <c r="F153" s="289"/>
      <c r="G153" s="262">
        <v>0</v>
      </c>
      <c r="H153" s="86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59">
        <f t="shared" si="14"/>
        <v>0</v>
      </c>
      <c r="U153" s="161"/>
      <c r="V153" s="162"/>
      <c r="W153" s="255"/>
      <c r="X153" s="32"/>
      <c r="Y153" s="32"/>
      <c r="Z153" s="32"/>
      <c r="AA153" s="32"/>
      <c r="AB153" s="32"/>
      <c r="AC153" s="32"/>
      <c r="AD153" s="33"/>
      <c r="AE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</row>
    <row r="154" spans="2:49" ht="12.75" hidden="1">
      <c r="B154" s="271"/>
      <c r="C154" s="273"/>
      <c r="D154" s="262">
        <v>0</v>
      </c>
      <c r="E154" s="289"/>
      <c r="F154" s="289"/>
      <c r="G154" s="262">
        <v>0</v>
      </c>
      <c r="H154" s="86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59">
        <f t="shared" si="14"/>
        <v>0</v>
      </c>
      <c r="U154" s="161"/>
      <c r="V154" s="162"/>
      <c r="W154" s="255"/>
      <c r="X154" s="32"/>
      <c r="Y154" s="32"/>
      <c r="Z154" s="32"/>
      <c r="AA154" s="32"/>
      <c r="AB154" s="32"/>
      <c r="AC154" s="32"/>
      <c r="AD154" s="33"/>
      <c r="AE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</row>
    <row r="155" spans="2:49" ht="12.75" hidden="1">
      <c r="B155" s="271" t="s">
        <v>880</v>
      </c>
      <c r="C155" s="273" t="s">
        <v>881</v>
      </c>
      <c r="D155" s="262">
        <v>0</v>
      </c>
      <c r="E155" s="289"/>
      <c r="F155" s="289"/>
      <c r="G155" s="262">
        <v>0</v>
      </c>
      <c r="H155" s="86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59">
        <f t="shared" si="14"/>
        <v>0</v>
      </c>
      <c r="U155" s="161"/>
      <c r="V155" s="162"/>
      <c r="W155" s="255"/>
      <c r="X155" s="32"/>
      <c r="Y155" s="32"/>
      <c r="Z155" s="32"/>
      <c r="AA155" s="32"/>
      <c r="AB155" s="32"/>
      <c r="AC155" s="32"/>
      <c r="AD155" s="33"/>
      <c r="AE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</row>
    <row r="156" spans="2:49" ht="12.75" hidden="1">
      <c r="B156" s="271" t="s">
        <v>882</v>
      </c>
      <c r="C156" s="273"/>
      <c r="D156" s="262">
        <v>0</v>
      </c>
      <c r="E156" s="289"/>
      <c r="F156" s="289"/>
      <c r="G156" s="262">
        <v>0</v>
      </c>
      <c r="H156" s="86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59">
        <f t="shared" si="14"/>
        <v>0</v>
      </c>
      <c r="U156" s="161"/>
      <c r="V156" s="162"/>
      <c r="W156" s="255"/>
      <c r="X156" s="32"/>
      <c r="Y156" s="32"/>
      <c r="Z156" s="32"/>
      <c r="AA156" s="32"/>
      <c r="AB156" s="32"/>
      <c r="AC156" s="32"/>
      <c r="AD156" s="33"/>
      <c r="AE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</row>
    <row r="157" spans="2:49" ht="12.75" hidden="1">
      <c r="B157" s="271" t="s">
        <v>883</v>
      </c>
      <c r="C157" s="274" t="s">
        <v>884</v>
      </c>
      <c r="D157" s="262">
        <v>0</v>
      </c>
      <c r="E157" s="289"/>
      <c r="F157" s="289"/>
      <c r="G157" s="262">
        <v>0</v>
      </c>
      <c r="H157" s="86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59">
        <f t="shared" si="14"/>
        <v>0</v>
      </c>
      <c r="U157" s="161"/>
      <c r="V157" s="162"/>
      <c r="W157" s="255"/>
      <c r="X157" s="32"/>
      <c r="Y157" s="32"/>
      <c r="Z157" s="32"/>
      <c r="AA157" s="32"/>
      <c r="AB157" s="32"/>
      <c r="AC157" s="32"/>
      <c r="AD157" s="33"/>
      <c r="AE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</row>
    <row r="158" spans="2:49" ht="12.75" hidden="1">
      <c r="B158" s="271" t="s">
        <v>885</v>
      </c>
      <c r="C158" s="273" t="s">
        <v>886</v>
      </c>
      <c r="D158" s="262">
        <v>0</v>
      </c>
      <c r="E158" s="289"/>
      <c r="F158" s="289"/>
      <c r="G158" s="262">
        <v>0</v>
      </c>
      <c r="H158" s="86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59">
        <f t="shared" si="14"/>
        <v>0</v>
      </c>
      <c r="U158" s="161"/>
      <c r="V158" s="162"/>
      <c r="W158" s="255"/>
      <c r="X158" s="32"/>
      <c r="Y158" s="32"/>
      <c r="Z158" s="32"/>
      <c r="AA158" s="32"/>
      <c r="AB158" s="32"/>
      <c r="AC158" s="32"/>
      <c r="AD158" s="33"/>
      <c r="AE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</row>
    <row r="159" spans="2:49" ht="12.75" hidden="1">
      <c r="B159" s="271" t="s">
        <v>887</v>
      </c>
      <c r="C159" s="273" t="s">
        <v>888</v>
      </c>
      <c r="D159" s="262">
        <v>0.009</v>
      </c>
      <c r="E159" s="289"/>
      <c r="F159" s="289"/>
      <c r="G159" s="262">
        <v>0</v>
      </c>
      <c r="H159" s="86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59">
        <f t="shared" si="14"/>
        <v>0.0014999999999999998</v>
      </c>
      <c r="U159" s="161"/>
      <c r="V159" s="162"/>
      <c r="W159" s="255"/>
      <c r="X159" s="32"/>
      <c r="Y159" s="32"/>
      <c r="Z159" s="32"/>
      <c r="AA159" s="32"/>
      <c r="AB159" s="32"/>
      <c r="AC159" s="32"/>
      <c r="AD159" s="33"/>
      <c r="AE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</row>
    <row r="160" spans="2:49" ht="12.75" hidden="1">
      <c r="B160" s="271" t="s">
        <v>889</v>
      </c>
      <c r="C160" s="273" t="s">
        <v>890</v>
      </c>
      <c r="D160" s="262">
        <v>0.001</v>
      </c>
      <c r="E160" s="289"/>
      <c r="F160" s="289"/>
      <c r="G160" s="262">
        <v>0.001</v>
      </c>
      <c r="H160" s="86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59">
        <f t="shared" si="14"/>
        <v>0.00016666666666666666</v>
      </c>
      <c r="U160" s="161"/>
      <c r="V160" s="162"/>
      <c r="W160" s="255"/>
      <c r="X160" s="32"/>
      <c r="Y160" s="32"/>
      <c r="Z160" s="32"/>
      <c r="AA160" s="32"/>
      <c r="AB160" s="32"/>
      <c r="AC160" s="32"/>
      <c r="AD160" s="33"/>
      <c r="AE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</row>
    <row r="161" spans="2:49" ht="12.75" hidden="1">
      <c r="B161" s="271" t="s">
        <v>891</v>
      </c>
      <c r="C161" s="273" t="s">
        <v>892</v>
      </c>
      <c r="D161" s="262">
        <v>0</v>
      </c>
      <c r="E161" s="289"/>
      <c r="F161" s="289"/>
      <c r="G161" s="262">
        <v>0</v>
      </c>
      <c r="H161" s="86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59">
        <f t="shared" si="14"/>
        <v>0</v>
      </c>
      <c r="U161" s="161"/>
      <c r="V161" s="162"/>
      <c r="W161" s="255"/>
      <c r="X161" s="32"/>
      <c r="Y161" s="32"/>
      <c r="Z161" s="32"/>
      <c r="AA161" s="32"/>
      <c r="AB161" s="32"/>
      <c r="AC161" s="32"/>
      <c r="AD161" s="33"/>
      <c r="AE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</row>
    <row r="162" spans="2:49" ht="12.75" hidden="1">
      <c r="B162" s="271" t="s">
        <v>893</v>
      </c>
      <c r="C162" s="273" t="s">
        <v>894</v>
      </c>
      <c r="D162" s="262">
        <v>0</v>
      </c>
      <c r="E162" s="289"/>
      <c r="F162" s="289"/>
      <c r="G162" s="262">
        <v>0</v>
      </c>
      <c r="H162" s="86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59">
        <f t="shared" si="14"/>
        <v>0</v>
      </c>
      <c r="U162" s="161"/>
      <c r="V162" s="162"/>
      <c r="W162" s="255"/>
      <c r="X162" s="32"/>
      <c r="Y162" s="32"/>
      <c r="Z162" s="32"/>
      <c r="AA162" s="32"/>
      <c r="AB162" s="32"/>
      <c r="AC162" s="32"/>
      <c r="AD162" s="33"/>
      <c r="AE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</row>
    <row r="163" spans="2:49" ht="12.75" hidden="1">
      <c r="B163" s="271" t="s">
        <v>895</v>
      </c>
      <c r="C163" s="273" t="s">
        <v>896</v>
      </c>
      <c r="D163" s="262">
        <v>0</v>
      </c>
      <c r="E163" s="289"/>
      <c r="F163" s="289"/>
      <c r="G163" s="262">
        <v>0</v>
      </c>
      <c r="H163" s="86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59">
        <f t="shared" si="14"/>
        <v>0</v>
      </c>
      <c r="U163" s="161"/>
      <c r="V163" s="162"/>
      <c r="W163" s="255"/>
      <c r="X163" s="32"/>
      <c r="Y163" s="32"/>
      <c r="Z163" s="32"/>
      <c r="AA163" s="32"/>
      <c r="AB163" s="32"/>
      <c r="AC163" s="32"/>
      <c r="AD163" s="33"/>
      <c r="AE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</row>
    <row r="164" spans="2:49" ht="12.75" hidden="1">
      <c r="B164" s="271" t="s">
        <v>897</v>
      </c>
      <c r="C164" s="273" t="s">
        <v>898</v>
      </c>
      <c r="D164" s="262">
        <v>0</v>
      </c>
      <c r="E164" s="289"/>
      <c r="F164" s="289"/>
      <c r="G164" s="262">
        <v>0</v>
      </c>
      <c r="H164" s="86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59">
        <f t="shared" si="14"/>
        <v>0</v>
      </c>
      <c r="U164" s="161"/>
      <c r="V164" s="162"/>
      <c r="W164" s="255"/>
      <c r="X164" s="32"/>
      <c r="Y164" s="32"/>
      <c r="Z164" s="32"/>
      <c r="AA164" s="32"/>
      <c r="AB164" s="32"/>
      <c r="AC164" s="32"/>
      <c r="AD164" s="33"/>
      <c r="AE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</row>
    <row r="165" spans="2:49" ht="12.75" hidden="1">
      <c r="B165" s="271" t="s">
        <v>899</v>
      </c>
      <c r="C165" s="273" t="s">
        <v>900</v>
      </c>
      <c r="D165" s="262">
        <v>0</v>
      </c>
      <c r="E165" s="289"/>
      <c r="F165" s="289"/>
      <c r="G165" s="262">
        <v>0</v>
      </c>
      <c r="H165" s="86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59">
        <f t="shared" si="14"/>
        <v>0</v>
      </c>
      <c r="U165" s="161"/>
      <c r="V165" s="162"/>
      <c r="W165" s="255"/>
      <c r="X165" s="32"/>
      <c r="Y165" s="32"/>
      <c r="Z165" s="32"/>
      <c r="AA165" s="32"/>
      <c r="AB165" s="32"/>
      <c r="AC165" s="32"/>
      <c r="AD165" s="33"/>
      <c r="AE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</row>
    <row r="166" spans="2:49" ht="12.75" hidden="1">
      <c r="B166" s="271"/>
      <c r="C166" s="273"/>
      <c r="D166" s="262">
        <v>0</v>
      </c>
      <c r="E166" s="289"/>
      <c r="F166" s="289"/>
      <c r="G166" s="262">
        <v>0</v>
      </c>
      <c r="H166" s="86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59">
        <f t="shared" si="14"/>
        <v>0</v>
      </c>
      <c r="U166" s="161"/>
      <c r="V166" s="162"/>
      <c r="W166" s="255"/>
      <c r="X166" s="32"/>
      <c r="Y166" s="32"/>
      <c r="Z166" s="32"/>
      <c r="AA166" s="32"/>
      <c r="AB166" s="32"/>
      <c r="AC166" s="32"/>
      <c r="AD166" s="33"/>
      <c r="AE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</row>
    <row r="167" spans="2:49" ht="12.75" hidden="1">
      <c r="B167" s="271"/>
      <c r="C167" s="275" t="s">
        <v>901</v>
      </c>
      <c r="D167" s="262">
        <v>0</v>
      </c>
      <c r="E167" s="289"/>
      <c r="F167" s="289"/>
      <c r="G167" s="262">
        <v>0</v>
      </c>
      <c r="H167" s="86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59">
        <f t="shared" si="14"/>
        <v>0</v>
      </c>
      <c r="U167" s="161"/>
      <c r="V167" s="162"/>
      <c r="W167" s="255"/>
      <c r="X167" s="32"/>
      <c r="Y167" s="32"/>
      <c r="Z167" s="32"/>
      <c r="AA167" s="32"/>
      <c r="AB167" s="32"/>
      <c r="AC167" s="32"/>
      <c r="AD167" s="33"/>
      <c r="AE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</row>
    <row r="168" spans="2:49" ht="12.75" hidden="1">
      <c r="B168" s="271" t="s">
        <v>902</v>
      </c>
      <c r="C168" s="276" t="s">
        <v>903</v>
      </c>
      <c r="D168" s="262">
        <v>0</v>
      </c>
      <c r="E168" s="289"/>
      <c r="F168" s="289"/>
      <c r="G168" s="262">
        <v>0</v>
      </c>
      <c r="H168" s="86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59">
        <f t="shared" si="14"/>
        <v>0</v>
      </c>
      <c r="U168" s="161"/>
      <c r="V168" s="162"/>
      <c r="W168" s="255"/>
      <c r="X168" s="32"/>
      <c r="Y168" s="32"/>
      <c r="Z168" s="32"/>
      <c r="AA168" s="32"/>
      <c r="AB168" s="32"/>
      <c r="AC168" s="32"/>
      <c r="AD168" s="33"/>
      <c r="AE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</row>
    <row r="169" spans="2:49" ht="12.75" hidden="1">
      <c r="B169" s="271" t="s">
        <v>904</v>
      </c>
      <c r="C169" s="273" t="s">
        <v>905</v>
      </c>
      <c r="D169" s="262">
        <v>0</v>
      </c>
      <c r="E169" s="289"/>
      <c r="F169" s="289"/>
      <c r="G169" s="262">
        <v>0</v>
      </c>
      <c r="H169" s="86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59">
        <f t="shared" si="14"/>
        <v>0</v>
      </c>
      <c r="U169" s="161"/>
      <c r="V169" s="162"/>
      <c r="W169" s="255"/>
      <c r="X169" s="32"/>
      <c r="Y169" s="32"/>
      <c r="Z169" s="32"/>
      <c r="AA169" s="32"/>
      <c r="AB169" s="32"/>
      <c r="AC169" s="32"/>
      <c r="AD169" s="33"/>
      <c r="AE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</row>
    <row r="170" spans="2:49" ht="12.75" hidden="1">
      <c r="B170" s="271" t="s">
        <v>906</v>
      </c>
      <c r="C170" s="273" t="s">
        <v>907</v>
      </c>
      <c r="D170" s="262">
        <v>0</v>
      </c>
      <c r="E170" s="289"/>
      <c r="F170" s="289"/>
      <c r="G170" s="262">
        <v>0</v>
      </c>
      <c r="H170" s="86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59">
        <f t="shared" si="14"/>
        <v>0</v>
      </c>
      <c r="U170" s="161"/>
      <c r="V170" s="162"/>
      <c r="W170" s="255"/>
      <c r="X170" s="32"/>
      <c r="Y170" s="32"/>
      <c r="Z170" s="32"/>
      <c r="AA170" s="32"/>
      <c r="AB170" s="32"/>
      <c r="AC170" s="32"/>
      <c r="AD170" s="33"/>
      <c r="AE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</row>
    <row r="171" spans="2:49" ht="12.75" hidden="1">
      <c r="B171" s="271" t="s">
        <v>908</v>
      </c>
      <c r="C171" s="273" t="s">
        <v>909</v>
      </c>
      <c r="D171" s="262">
        <v>0</v>
      </c>
      <c r="E171" s="289"/>
      <c r="F171" s="289"/>
      <c r="G171" s="262">
        <v>0</v>
      </c>
      <c r="H171" s="86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59">
        <f t="shared" si="14"/>
        <v>0</v>
      </c>
      <c r="U171" s="161"/>
      <c r="V171" s="162"/>
      <c r="W171" s="255"/>
      <c r="X171" s="32"/>
      <c r="Y171" s="32"/>
      <c r="Z171" s="32"/>
      <c r="AA171" s="32"/>
      <c r="AB171" s="32"/>
      <c r="AC171" s="32"/>
      <c r="AD171" s="33"/>
      <c r="AE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</row>
    <row r="172" spans="2:49" ht="12.75" hidden="1">
      <c r="B172" s="271" t="s">
        <v>910</v>
      </c>
      <c r="C172" s="276" t="s">
        <v>911</v>
      </c>
      <c r="D172" s="262">
        <v>0</v>
      </c>
      <c r="E172" s="289"/>
      <c r="F172" s="289"/>
      <c r="G172" s="262">
        <v>0</v>
      </c>
      <c r="H172" s="86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59">
        <f t="shared" si="14"/>
        <v>0</v>
      </c>
      <c r="U172" s="161"/>
      <c r="V172" s="162"/>
      <c r="W172" s="255"/>
      <c r="X172" s="32"/>
      <c r="Y172" s="32"/>
      <c r="Z172" s="32"/>
      <c r="AA172" s="32"/>
      <c r="AB172" s="32"/>
      <c r="AC172" s="32"/>
      <c r="AD172" s="33"/>
      <c r="AE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</row>
    <row r="173" spans="2:49" ht="12.75" hidden="1">
      <c r="B173" s="271" t="s">
        <v>912</v>
      </c>
      <c r="C173" s="276" t="s">
        <v>913</v>
      </c>
      <c r="D173" s="262">
        <v>0</v>
      </c>
      <c r="E173" s="289"/>
      <c r="F173" s="289"/>
      <c r="G173" s="262">
        <v>0</v>
      </c>
      <c r="H173" s="86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59">
        <f t="shared" si="14"/>
        <v>0</v>
      </c>
      <c r="U173" s="161"/>
      <c r="V173" s="162"/>
      <c r="W173" s="255"/>
      <c r="X173" s="32"/>
      <c r="Y173" s="32"/>
      <c r="Z173" s="32"/>
      <c r="AA173" s="32"/>
      <c r="AB173" s="32"/>
      <c r="AC173" s="32"/>
      <c r="AD173" s="33"/>
      <c r="AE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</row>
    <row r="174" spans="2:49" ht="12.75" hidden="1">
      <c r="B174" s="271" t="s">
        <v>914</v>
      </c>
      <c r="C174" s="276" t="s">
        <v>915</v>
      </c>
      <c r="D174" s="262">
        <v>0</v>
      </c>
      <c r="E174" s="289"/>
      <c r="F174" s="289"/>
      <c r="G174" s="262">
        <v>0</v>
      </c>
      <c r="H174" s="86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59">
        <f t="shared" si="14"/>
        <v>0</v>
      </c>
      <c r="U174" s="161"/>
      <c r="V174" s="162"/>
      <c r="W174" s="255"/>
      <c r="X174" s="32"/>
      <c r="Y174" s="32"/>
      <c r="Z174" s="32"/>
      <c r="AA174" s="32"/>
      <c r="AB174" s="32"/>
      <c r="AC174" s="32"/>
      <c r="AD174" s="33"/>
      <c r="AE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</row>
    <row r="175" spans="2:49" ht="12.75" hidden="1">
      <c r="B175" s="271"/>
      <c r="C175" s="276"/>
      <c r="D175" s="262">
        <v>0</v>
      </c>
      <c r="E175" s="289"/>
      <c r="F175" s="289"/>
      <c r="G175" s="262">
        <v>0</v>
      </c>
      <c r="H175" s="86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59">
        <f t="shared" si="14"/>
        <v>0</v>
      </c>
      <c r="U175" s="161"/>
      <c r="V175" s="162"/>
      <c r="W175" s="255"/>
      <c r="X175" s="32"/>
      <c r="Y175" s="32"/>
      <c r="Z175" s="32"/>
      <c r="AA175" s="32"/>
      <c r="AB175" s="32"/>
      <c r="AC175" s="32"/>
      <c r="AD175" s="33"/>
      <c r="AE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</row>
    <row r="176" spans="2:49" ht="12.75" hidden="1">
      <c r="B176" s="271"/>
      <c r="C176" s="272" t="s">
        <v>916</v>
      </c>
      <c r="D176" s="262">
        <v>0</v>
      </c>
      <c r="E176" s="289"/>
      <c r="F176" s="289"/>
      <c r="G176" s="262">
        <v>0</v>
      </c>
      <c r="H176" s="86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59">
        <f t="shared" si="14"/>
        <v>0</v>
      </c>
      <c r="U176" s="161"/>
      <c r="V176" s="162"/>
      <c r="W176" s="255"/>
      <c r="X176" s="32"/>
      <c r="Y176" s="32"/>
      <c r="Z176" s="32"/>
      <c r="AA176" s="32"/>
      <c r="AB176" s="32"/>
      <c r="AC176" s="32"/>
      <c r="AD176" s="33"/>
      <c r="AE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</row>
    <row r="177" spans="2:49" ht="12.75" hidden="1">
      <c r="B177" s="271" t="s">
        <v>917</v>
      </c>
      <c r="C177" s="273" t="s">
        <v>918</v>
      </c>
      <c r="D177" s="262">
        <v>0.008</v>
      </c>
      <c r="E177" s="289"/>
      <c r="F177" s="289"/>
      <c r="G177" s="262">
        <v>0</v>
      </c>
      <c r="H177" s="86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59">
        <f t="shared" si="14"/>
        <v>0.0013333333333333333</v>
      </c>
      <c r="U177" s="161"/>
      <c r="V177" s="162"/>
      <c r="W177" s="255"/>
      <c r="X177" s="32"/>
      <c r="Y177" s="32"/>
      <c r="Z177" s="32"/>
      <c r="AA177" s="32"/>
      <c r="AB177" s="32"/>
      <c r="AC177" s="32"/>
      <c r="AD177" s="33"/>
      <c r="AE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</row>
    <row r="178" spans="2:49" ht="12.75" hidden="1">
      <c r="B178" s="271" t="s">
        <v>919</v>
      </c>
      <c r="C178" s="276" t="s">
        <v>920</v>
      </c>
      <c r="D178" s="262">
        <v>0</v>
      </c>
      <c r="E178" s="289"/>
      <c r="F178" s="289"/>
      <c r="G178" s="262">
        <v>0.001</v>
      </c>
      <c r="H178" s="86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59">
        <f t="shared" si="14"/>
        <v>0</v>
      </c>
      <c r="U178" s="161"/>
      <c r="V178" s="162"/>
      <c r="W178" s="255"/>
      <c r="X178" s="32"/>
      <c r="Y178" s="32"/>
      <c r="Z178" s="32"/>
      <c r="AA178" s="32"/>
      <c r="AB178" s="32"/>
      <c r="AC178" s="32"/>
      <c r="AD178" s="33"/>
      <c r="AE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</row>
    <row r="179" spans="2:49" ht="12.75" hidden="1">
      <c r="B179" s="271" t="s">
        <v>921</v>
      </c>
      <c r="C179" s="276" t="s">
        <v>922</v>
      </c>
      <c r="D179" s="262">
        <v>0.008</v>
      </c>
      <c r="E179" s="289"/>
      <c r="F179" s="289"/>
      <c r="G179" s="262">
        <v>0</v>
      </c>
      <c r="H179" s="86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59">
        <f t="shared" si="14"/>
        <v>0.0013333333333333333</v>
      </c>
      <c r="U179" s="161"/>
      <c r="V179" s="162"/>
      <c r="W179" s="255"/>
      <c r="X179" s="32"/>
      <c r="Y179" s="32"/>
      <c r="Z179" s="32"/>
      <c r="AA179" s="32"/>
      <c r="AB179" s="32"/>
      <c r="AC179" s="32"/>
      <c r="AD179" s="33"/>
      <c r="AE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</row>
    <row r="180" spans="2:49" ht="12.75" hidden="1">
      <c r="B180" s="271" t="s">
        <v>923</v>
      </c>
      <c r="C180" s="276" t="s">
        <v>924</v>
      </c>
      <c r="D180" s="262">
        <v>0</v>
      </c>
      <c r="E180" s="289"/>
      <c r="F180" s="289"/>
      <c r="G180" s="262">
        <v>0.035</v>
      </c>
      <c r="H180" s="86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59">
        <f t="shared" si="14"/>
        <v>0</v>
      </c>
      <c r="U180" s="161"/>
      <c r="V180" s="162"/>
      <c r="W180" s="255"/>
      <c r="X180" s="32"/>
      <c r="Y180" s="32"/>
      <c r="Z180" s="32"/>
      <c r="AA180" s="32"/>
      <c r="AB180" s="32"/>
      <c r="AC180" s="32"/>
      <c r="AD180" s="33"/>
      <c r="AE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</row>
    <row r="181" spans="2:49" ht="12.75" hidden="1">
      <c r="B181" s="271"/>
      <c r="C181" s="276"/>
      <c r="D181" s="262">
        <v>0</v>
      </c>
      <c r="E181" s="289"/>
      <c r="F181" s="289"/>
      <c r="G181" s="262">
        <v>0</v>
      </c>
      <c r="H181" s="86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59">
        <f t="shared" si="14"/>
        <v>0</v>
      </c>
      <c r="U181" s="161"/>
      <c r="V181" s="162"/>
      <c r="W181" s="255"/>
      <c r="X181" s="32"/>
      <c r="Y181" s="32"/>
      <c r="Z181" s="32"/>
      <c r="AA181" s="32"/>
      <c r="AB181" s="32"/>
      <c r="AC181" s="32"/>
      <c r="AD181" s="33"/>
      <c r="AE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</row>
    <row r="182" spans="2:49" ht="12.75" hidden="1">
      <c r="B182" s="271"/>
      <c r="C182" s="272" t="s">
        <v>925</v>
      </c>
      <c r="D182" s="262">
        <v>0</v>
      </c>
      <c r="E182" s="289"/>
      <c r="F182" s="289"/>
      <c r="G182" s="262">
        <v>0</v>
      </c>
      <c r="H182" s="86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59">
        <f t="shared" si="14"/>
        <v>0</v>
      </c>
      <c r="U182" s="161"/>
      <c r="V182" s="162"/>
      <c r="W182" s="255"/>
      <c r="X182" s="32"/>
      <c r="Y182" s="32"/>
      <c r="Z182" s="32"/>
      <c r="AA182" s="32"/>
      <c r="AB182" s="32"/>
      <c r="AC182" s="32"/>
      <c r="AD182" s="33"/>
      <c r="AE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</row>
    <row r="183" spans="2:49" ht="12.75" hidden="1">
      <c r="B183" s="271" t="s">
        <v>926</v>
      </c>
      <c r="C183" s="273" t="s">
        <v>927</v>
      </c>
      <c r="D183" s="262">
        <v>0</v>
      </c>
      <c r="E183" s="289"/>
      <c r="F183" s="289"/>
      <c r="G183" s="262">
        <v>0</v>
      </c>
      <c r="H183" s="86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59">
        <f t="shared" si="14"/>
        <v>0</v>
      </c>
      <c r="U183" s="161"/>
      <c r="V183" s="162"/>
      <c r="W183" s="255"/>
      <c r="X183" s="32"/>
      <c r="Y183" s="32"/>
      <c r="Z183" s="32"/>
      <c r="AA183" s="32"/>
      <c r="AB183" s="32"/>
      <c r="AC183" s="32"/>
      <c r="AD183" s="33"/>
      <c r="AE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</row>
    <row r="184" spans="2:49" ht="12.75" hidden="1">
      <c r="B184" s="271" t="s">
        <v>928</v>
      </c>
      <c r="C184" s="276" t="s">
        <v>929</v>
      </c>
      <c r="D184" s="262">
        <v>0</v>
      </c>
      <c r="E184" s="289"/>
      <c r="F184" s="289"/>
      <c r="G184" s="262">
        <v>0</v>
      </c>
      <c r="H184" s="86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59">
        <f t="shared" si="14"/>
        <v>0</v>
      </c>
      <c r="U184" s="161"/>
      <c r="V184" s="162"/>
      <c r="W184" s="255"/>
      <c r="X184" s="32"/>
      <c r="Y184" s="32"/>
      <c r="Z184" s="32"/>
      <c r="AA184" s="32"/>
      <c r="AB184" s="32"/>
      <c r="AC184" s="32"/>
      <c r="AD184" s="33"/>
      <c r="AE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</row>
    <row r="185" spans="1:49" ht="12.75">
      <c r="A185" s="29" t="s">
        <v>209</v>
      </c>
      <c r="B185" s="189" t="s">
        <v>299</v>
      </c>
      <c r="C185" s="196" t="s">
        <v>780</v>
      </c>
      <c r="D185" s="200">
        <f>SUM(D186:D219)</f>
        <v>3.114999999999999</v>
      </c>
      <c r="E185" s="287"/>
      <c r="F185" s="287"/>
      <c r="G185" s="200">
        <f>SUM(G186:G219)</f>
        <v>0.14300000000000002</v>
      </c>
      <c r="H185" s="86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59">
        <f t="shared" si="14"/>
        <v>0.5191666666666664</v>
      </c>
      <c r="U185" s="161"/>
      <c r="V185" s="162"/>
      <c r="W185" s="255"/>
      <c r="X185" s="32"/>
      <c r="Y185" s="32"/>
      <c r="Z185" s="32"/>
      <c r="AA185" s="32"/>
      <c r="AB185" s="32"/>
      <c r="AC185" s="32"/>
      <c r="AD185" s="33"/>
      <c r="AE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</row>
    <row r="186" spans="2:49" ht="12.75" hidden="1">
      <c r="B186"/>
      <c r="C186" s="196"/>
      <c r="D186" s="200">
        <v>0</v>
      </c>
      <c r="E186" s="287"/>
      <c r="F186" s="287"/>
      <c r="G186" s="200">
        <v>0</v>
      </c>
      <c r="H186" s="86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59">
        <f t="shared" si="14"/>
        <v>0</v>
      </c>
      <c r="U186" s="161"/>
      <c r="V186" s="162"/>
      <c r="W186" s="255"/>
      <c r="X186" s="32"/>
      <c r="Y186" s="32"/>
      <c r="Z186" s="32"/>
      <c r="AA186" s="32"/>
      <c r="AB186" s="32"/>
      <c r="AC186" s="32"/>
      <c r="AD186" s="33"/>
      <c r="AE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</row>
    <row r="187" spans="2:49" ht="12.75" hidden="1">
      <c r="B187" t="s">
        <v>781</v>
      </c>
      <c r="C187" s="196" t="s">
        <v>782</v>
      </c>
      <c r="D187" s="200">
        <v>2</v>
      </c>
      <c r="E187" s="287"/>
      <c r="F187" s="287"/>
      <c r="G187" s="200">
        <v>0.118</v>
      </c>
      <c r="H187" s="86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59">
        <f t="shared" si="14"/>
        <v>0.3333333333333333</v>
      </c>
      <c r="U187" s="161"/>
      <c r="V187" s="162"/>
      <c r="W187" s="255"/>
      <c r="X187" s="32"/>
      <c r="Y187" s="32"/>
      <c r="Z187" s="32"/>
      <c r="AA187" s="32"/>
      <c r="AB187" s="32"/>
      <c r="AC187" s="32"/>
      <c r="AD187" s="33"/>
      <c r="AE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</row>
    <row r="188" spans="2:49" ht="12.75" hidden="1">
      <c r="B188" t="s">
        <v>783</v>
      </c>
      <c r="C188" s="196" t="s">
        <v>784</v>
      </c>
      <c r="D188" s="200">
        <v>0</v>
      </c>
      <c r="E188" s="287"/>
      <c r="F188" s="287"/>
      <c r="G188" s="200">
        <v>0</v>
      </c>
      <c r="H188" s="86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59">
        <f t="shared" si="14"/>
        <v>0</v>
      </c>
      <c r="U188" s="161"/>
      <c r="V188" s="162"/>
      <c r="W188" s="255"/>
      <c r="X188" s="32"/>
      <c r="Y188" s="32"/>
      <c r="Z188" s="32"/>
      <c r="AA188" s="32"/>
      <c r="AB188" s="32"/>
      <c r="AC188" s="32"/>
      <c r="AD188" s="33"/>
      <c r="AE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</row>
    <row r="189" spans="2:49" ht="12.75" hidden="1">
      <c r="B189"/>
      <c r="C189" s="196"/>
      <c r="D189" s="200">
        <v>0</v>
      </c>
      <c r="E189" s="287"/>
      <c r="F189" s="287"/>
      <c r="G189" s="200">
        <v>0</v>
      </c>
      <c r="H189" s="86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59">
        <f t="shared" si="14"/>
        <v>0</v>
      </c>
      <c r="U189" s="161"/>
      <c r="V189" s="162"/>
      <c r="W189" s="255"/>
      <c r="X189" s="32"/>
      <c r="Y189" s="32"/>
      <c r="Z189" s="32"/>
      <c r="AA189" s="32"/>
      <c r="AB189" s="32"/>
      <c r="AC189" s="32"/>
      <c r="AD189" s="33"/>
      <c r="AE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</row>
    <row r="190" spans="2:49" ht="12.75" hidden="1">
      <c r="B190" t="s">
        <v>785</v>
      </c>
      <c r="C190" s="196" t="s">
        <v>786</v>
      </c>
      <c r="D190" s="200">
        <v>0.11</v>
      </c>
      <c r="E190" s="287"/>
      <c r="F190" s="287"/>
      <c r="G190" s="200">
        <v>0.004</v>
      </c>
      <c r="H190" s="86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59">
        <f t="shared" si="14"/>
        <v>0.018333333333333333</v>
      </c>
      <c r="U190" s="161"/>
      <c r="V190" s="162"/>
      <c r="W190" s="255"/>
      <c r="X190" s="32"/>
      <c r="Y190" s="32"/>
      <c r="Z190" s="32"/>
      <c r="AA190" s="32"/>
      <c r="AB190" s="32"/>
      <c r="AC190" s="32"/>
      <c r="AD190" s="33"/>
      <c r="AE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</row>
    <row r="191" spans="2:49" ht="12.75" hidden="1">
      <c r="B191" t="s">
        <v>787</v>
      </c>
      <c r="C191" s="196" t="s">
        <v>788</v>
      </c>
      <c r="D191" s="200">
        <v>0.04</v>
      </c>
      <c r="E191" s="287"/>
      <c r="F191" s="287"/>
      <c r="G191" s="200">
        <v>0</v>
      </c>
      <c r="H191" s="86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59">
        <f t="shared" si="14"/>
        <v>0.006666666666666667</v>
      </c>
      <c r="U191" s="161"/>
      <c r="V191" s="162"/>
      <c r="W191" s="255"/>
      <c r="X191" s="32"/>
      <c r="Y191" s="32"/>
      <c r="Z191" s="32"/>
      <c r="AA191" s="32"/>
      <c r="AB191" s="32"/>
      <c r="AC191" s="32"/>
      <c r="AD191" s="33"/>
      <c r="AE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</row>
    <row r="192" spans="2:49" ht="12.75" hidden="1">
      <c r="B192"/>
      <c r="C192" s="196"/>
      <c r="D192" s="200">
        <v>0</v>
      </c>
      <c r="E192" s="287"/>
      <c r="F192" s="287"/>
      <c r="G192" s="200">
        <v>0</v>
      </c>
      <c r="H192" s="86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59">
        <f t="shared" si="14"/>
        <v>0</v>
      </c>
      <c r="U192" s="161"/>
      <c r="V192" s="162"/>
      <c r="W192" s="255"/>
      <c r="X192" s="32"/>
      <c r="Y192" s="32"/>
      <c r="Z192" s="32"/>
      <c r="AA192" s="32"/>
      <c r="AB192" s="32"/>
      <c r="AC192" s="32"/>
      <c r="AD192" s="33"/>
      <c r="AE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</row>
    <row r="193" spans="2:49" ht="12.75" hidden="1">
      <c r="B193" t="s">
        <v>789</v>
      </c>
      <c r="C193" s="196" t="s">
        <v>790</v>
      </c>
      <c r="D193" s="200">
        <v>0.5</v>
      </c>
      <c r="E193" s="287"/>
      <c r="F193" s="287"/>
      <c r="G193" s="200">
        <v>0.007</v>
      </c>
      <c r="H193" s="86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59">
        <f t="shared" si="14"/>
        <v>0.08333333333333333</v>
      </c>
      <c r="U193" s="161"/>
      <c r="V193" s="162"/>
      <c r="W193" s="255"/>
      <c r="X193" s="32"/>
      <c r="Y193" s="32"/>
      <c r="Z193" s="32"/>
      <c r="AA193" s="32"/>
      <c r="AB193" s="32"/>
      <c r="AC193" s="32"/>
      <c r="AD193" s="33"/>
      <c r="AE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</row>
    <row r="194" spans="2:49" ht="12.75" hidden="1">
      <c r="B194"/>
      <c r="C194" s="196"/>
      <c r="D194" s="200">
        <v>0</v>
      </c>
      <c r="E194" s="287"/>
      <c r="F194" s="287"/>
      <c r="G194" s="200">
        <v>0</v>
      </c>
      <c r="H194" s="86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59">
        <f t="shared" si="14"/>
        <v>0</v>
      </c>
      <c r="U194" s="161"/>
      <c r="V194" s="162"/>
      <c r="W194" s="255"/>
      <c r="X194" s="32"/>
      <c r="Y194" s="32"/>
      <c r="Z194" s="32"/>
      <c r="AA194" s="32"/>
      <c r="AB194" s="32"/>
      <c r="AC194" s="32"/>
      <c r="AD194" s="33"/>
      <c r="AE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</row>
    <row r="195" spans="2:49" ht="12.75" hidden="1">
      <c r="B195"/>
      <c r="C195" s="196" t="s">
        <v>791</v>
      </c>
      <c r="D195" s="200">
        <v>0</v>
      </c>
      <c r="E195" s="287"/>
      <c r="F195" s="287"/>
      <c r="G195" s="200">
        <v>0</v>
      </c>
      <c r="H195" s="86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59">
        <f t="shared" si="14"/>
        <v>0</v>
      </c>
      <c r="U195" s="161"/>
      <c r="V195" s="162"/>
      <c r="W195" s="255"/>
      <c r="X195" s="32"/>
      <c r="Y195" s="32"/>
      <c r="Z195" s="32"/>
      <c r="AA195" s="32"/>
      <c r="AB195" s="32"/>
      <c r="AC195" s="32"/>
      <c r="AD195" s="33"/>
      <c r="AE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</row>
    <row r="196" spans="2:49" ht="12.75" hidden="1">
      <c r="B196"/>
      <c r="C196" s="196"/>
      <c r="D196" s="200">
        <v>0</v>
      </c>
      <c r="E196" s="287"/>
      <c r="F196" s="287"/>
      <c r="G196" s="200">
        <v>0</v>
      </c>
      <c r="H196" s="86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59">
        <f t="shared" si="14"/>
        <v>0</v>
      </c>
      <c r="U196" s="161"/>
      <c r="V196" s="162"/>
      <c r="W196" s="255"/>
      <c r="X196" s="32"/>
      <c r="Y196" s="32"/>
      <c r="Z196" s="32"/>
      <c r="AA196" s="32"/>
      <c r="AB196" s="32"/>
      <c r="AC196" s="32"/>
      <c r="AD196" s="33"/>
      <c r="AE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</row>
    <row r="197" spans="2:49" ht="12.75" hidden="1">
      <c r="B197" t="s">
        <v>792</v>
      </c>
      <c r="C197" s="196" t="s">
        <v>793</v>
      </c>
      <c r="D197" s="200">
        <v>0.35</v>
      </c>
      <c r="E197" s="287"/>
      <c r="F197" s="287"/>
      <c r="G197" s="200">
        <v>0</v>
      </c>
      <c r="H197" s="86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59">
        <f t="shared" si="14"/>
        <v>0.05833333333333333</v>
      </c>
      <c r="U197" s="161"/>
      <c r="V197" s="162"/>
      <c r="W197" s="255"/>
      <c r="X197" s="32"/>
      <c r="Y197" s="32"/>
      <c r="Z197" s="32"/>
      <c r="AA197" s="32"/>
      <c r="AB197" s="32"/>
      <c r="AC197" s="32"/>
      <c r="AD197" s="33"/>
      <c r="AE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</row>
    <row r="198" spans="2:49" ht="12.75" hidden="1">
      <c r="B198"/>
      <c r="C198" s="196"/>
      <c r="D198" s="200">
        <v>0</v>
      </c>
      <c r="E198" s="287"/>
      <c r="F198" s="287"/>
      <c r="G198" s="200">
        <v>0</v>
      </c>
      <c r="H198" s="86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59">
        <f t="shared" si="14"/>
        <v>0</v>
      </c>
      <c r="U198" s="161"/>
      <c r="V198" s="162"/>
      <c r="W198" s="255"/>
      <c r="X198" s="32"/>
      <c r="Y198" s="32"/>
      <c r="Z198" s="32"/>
      <c r="AA198" s="32"/>
      <c r="AB198" s="32"/>
      <c r="AC198" s="32"/>
      <c r="AD198" s="33"/>
      <c r="AE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</row>
    <row r="199" spans="2:49" ht="12.75" hidden="1">
      <c r="B199"/>
      <c r="C199" s="196" t="s">
        <v>794</v>
      </c>
      <c r="D199" s="200">
        <v>0</v>
      </c>
      <c r="E199" s="287"/>
      <c r="F199" s="287"/>
      <c r="G199" s="200">
        <v>0</v>
      </c>
      <c r="H199" s="86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59">
        <f t="shared" si="14"/>
        <v>0</v>
      </c>
      <c r="U199" s="161"/>
      <c r="V199" s="162"/>
      <c r="W199" s="255"/>
      <c r="X199" s="32"/>
      <c r="Y199" s="32"/>
      <c r="Z199" s="32"/>
      <c r="AA199" s="32"/>
      <c r="AB199" s="32"/>
      <c r="AC199" s="32"/>
      <c r="AD199" s="33"/>
      <c r="AE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</row>
    <row r="200" spans="2:49" ht="12.75" hidden="1">
      <c r="B200"/>
      <c r="C200" s="196"/>
      <c r="D200" s="200">
        <v>0</v>
      </c>
      <c r="E200" s="287"/>
      <c r="F200" s="287"/>
      <c r="G200" s="200">
        <v>0</v>
      </c>
      <c r="H200" s="86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59">
        <f t="shared" si="14"/>
        <v>0</v>
      </c>
      <c r="U200" s="161"/>
      <c r="V200" s="162"/>
      <c r="W200" s="255"/>
      <c r="X200" s="32"/>
      <c r="Y200" s="32"/>
      <c r="Z200" s="32"/>
      <c r="AA200" s="32"/>
      <c r="AB200" s="32"/>
      <c r="AC200" s="32"/>
      <c r="AD200" s="33"/>
      <c r="AE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</row>
    <row r="201" spans="2:49" ht="12.75" hidden="1">
      <c r="B201" t="s">
        <v>795</v>
      </c>
      <c r="C201" s="196" t="s">
        <v>796</v>
      </c>
      <c r="D201" s="200">
        <v>0.014</v>
      </c>
      <c r="E201" s="287"/>
      <c r="F201" s="287"/>
      <c r="G201" s="200">
        <v>0</v>
      </c>
      <c r="H201" s="86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59">
        <f t="shared" si="14"/>
        <v>0.0023333333333333335</v>
      </c>
      <c r="U201" s="161"/>
      <c r="V201" s="162"/>
      <c r="W201" s="255"/>
      <c r="X201" s="32"/>
      <c r="Y201" s="32"/>
      <c r="Z201" s="32"/>
      <c r="AA201" s="32"/>
      <c r="AB201" s="32"/>
      <c r="AC201" s="32"/>
      <c r="AD201" s="33"/>
      <c r="AE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</row>
    <row r="202" spans="2:49" ht="12.75" hidden="1">
      <c r="B202" t="s">
        <v>797</v>
      </c>
      <c r="C202" s="196" t="s">
        <v>798</v>
      </c>
      <c r="D202" s="200">
        <v>0.016</v>
      </c>
      <c r="E202" s="287"/>
      <c r="F202" s="287"/>
      <c r="G202" s="200">
        <v>0.005</v>
      </c>
      <c r="H202" s="86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59">
        <f t="shared" si="14"/>
        <v>0.0026666666666666666</v>
      </c>
      <c r="U202" s="161"/>
      <c r="V202" s="162"/>
      <c r="W202" s="255"/>
      <c r="X202" s="32"/>
      <c r="Y202" s="32"/>
      <c r="Z202" s="32"/>
      <c r="AA202" s="32"/>
      <c r="AB202" s="32"/>
      <c r="AC202" s="32"/>
      <c r="AD202" s="33"/>
      <c r="AE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</row>
    <row r="203" spans="2:49" ht="12.75" hidden="1">
      <c r="B203" t="s">
        <v>799</v>
      </c>
      <c r="C203" s="196" t="s">
        <v>800</v>
      </c>
      <c r="D203" s="200">
        <v>0.029</v>
      </c>
      <c r="E203" s="287"/>
      <c r="F203" s="287"/>
      <c r="G203" s="200">
        <v>0</v>
      </c>
      <c r="H203" s="86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59">
        <f t="shared" si="14"/>
        <v>0.004833333333333334</v>
      </c>
      <c r="U203" s="161"/>
      <c r="V203" s="162"/>
      <c r="W203" s="255"/>
      <c r="X203" s="32"/>
      <c r="Y203" s="32"/>
      <c r="Z203" s="32"/>
      <c r="AA203" s="32"/>
      <c r="AB203" s="32"/>
      <c r="AC203" s="32"/>
      <c r="AD203" s="33"/>
      <c r="AE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</row>
    <row r="204" spans="2:49" ht="12.75" hidden="1">
      <c r="B204" t="s">
        <v>801</v>
      </c>
      <c r="C204" s="196" t="s">
        <v>802</v>
      </c>
      <c r="D204" s="200">
        <v>0</v>
      </c>
      <c r="E204" s="287"/>
      <c r="F204" s="287"/>
      <c r="G204" s="200">
        <v>0</v>
      </c>
      <c r="H204" s="86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59">
        <f t="shared" si="14"/>
        <v>0</v>
      </c>
      <c r="U204" s="161"/>
      <c r="V204" s="162"/>
      <c r="W204" s="255"/>
      <c r="X204" s="32"/>
      <c r="Y204" s="32"/>
      <c r="Z204" s="32"/>
      <c r="AA204" s="32"/>
      <c r="AB204" s="32"/>
      <c r="AC204" s="32"/>
      <c r="AD204" s="33"/>
      <c r="AE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</row>
    <row r="205" spans="2:49" ht="12.75" hidden="1">
      <c r="B205"/>
      <c r="C205" s="196"/>
      <c r="D205" s="200">
        <v>0</v>
      </c>
      <c r="E205" s="287"/>
      <c r="F205" s="287"/>
      <c r="G205" s="200">
        <v>0</v>
      </c>
      <c r="H205" s="86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59">
        <f t="shared" si="14"/>
        <v>0</v>
      </c>
      <c r="U205" s="161"/>
      <c r="V205" s="162"/>
      <c r="W205" s="255"/>
      <c r="X205" s="32"/>
      <c r="Y205" s="32"/>
      <c r="Z205" s="32"/>
      <c r="AA205" s="32"/>
      <c r="AB205" s="32"/>
      <c r="AC205" s="32"/>
      <c r="AD205" s="33"/>
      <c r="AE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</row>
    <row r="206" spans="2:49" ht="12.75" hidden="1">
      <c r="B206"/>
      <c r="C206" s="196" t="s">
        <v>803</v>
      </c>
      <c r="D206" s="200">
        <v>0</v>
      </c>
      <c r="E206" s="287"/>
      <c r="F206" s="287"/>
      <c r="G206" s="200">
        <v>0</v>
      </c>
      <c r="H206" s="86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59">
        <f t="shared" si="14"/>
        <v>0</v>
      </c>
      <c r="U206" s="161"/>
      <c r="V206" s="162"/>
      <c r="W206" s="255"/>
      <c r="X206" s="32"/>
      <c r="Y206" s="32"/>
      <c r="Z206" s="32"/>
      <c r="AA206" s="32"/>
      <c r="AB206" s="32"/>
      <c r="AC206" s="32"/>
      <c r="AD206" s="33"/>
      <c r="AE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</row>
    <row r="207" spans="2:49" ht="12.75" hidden="1">
      <c r="B207"/>
      <c r="C207" s="196"/>
      <c r="D207" s="200">
        <v>0</v>
      </c>
      <c r="E207" s="287"/>
      <c r="F207" s="287"/>
      <c r="G207" s="200">
        <v>0</v>
      </c>
      <c r="H207" s="86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59">
        <f t="shared" si="14"/>
        <v>0</v>
      </c>
      <c r="U207" s="161"/>
      <c r="V207" s="162"/>
      <c r="W207" s="255"/>
      <c r="X207" s="32"/>
      <c r="Y207" s="32"/>
      <c r="Z207" s="32"/>
      <c r="AA207" s="32"/>
      <c r="AB207" s="32"/>
      <c r="AC207" s="32"/>
      <c r="AD207" s="33"/>
      <c r="AE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</row>
    <row r="208" spans="2:49" ht="12.75" hidden="1">
      <c r="B208" t="s">
        <v>804</v>
      </c>
      <c r="C208" s="196" t="s">
        <v>805</v>
      </c>
      <c r="D208" s="200">
        <v>0</v>
      </c>
      <c r="E208" s="287"/>
      <c r="F208" s="287"/>
      <c r="G208" s="200">
        <v>0.001</v>
      </c>
      <c r="H208" s="86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59">
        <f t="shared" si="14"/>
        <v>0</v>
      </c>
      <c r="U208" s="161"/>
      <c r="V208" s="162"/>
      <c r="W208" s="255"/>
      <c r="X208" s="32"/>
      <c r="Y208" s="32"/>
      <c r="Z208" s="32"/>
      <c r="AA208" s="32"/>
      <c r="AB208" s="32"/>
      <c r="AC208" s="32"/>
      <c r="AD208" s="33"/>
      <c r="AE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</row>
    <row r="209" spans="2:49" ht="12.75" hidden="1">
      <c r="B209" t="s">
        <v>806</v>
      </c>
      <c r="C209" s="196" t="s">
        <v>807</v>
      </c>
      <c r="D209" s="200">
        <v>0.013</v>
      </c>
      <c r="E209" s="287"/>
      <c r="F209" s="287"/>
      <c r="G209" s="200">
        <v>0</v>
      </c>
      <c r="H209" s="86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59">
        <f t="shared" si="14"/>
        <v>0.0021666666666666666</v>
      </c>
      <c r="U209" s="161"/>
      <c r="V209" s="162"/>
      <c r="W209" s="255"/>
      <c r="X209" s="32"/>
      <c r="Y209" s="32"/>
      <c r="Z209" s="32"/>
      <c r="AA209" s="32"/>
      <c r="AB209" s="32"/>
      <c r="AC209" s="32"/>
      <c r="AD209" s="33"/>
      <c r="AE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</row>
    <row r="210" spans="2:49" ht="12.75" hidden="1">
      <c r="B210" t="s">
        <v>808</v>
      </c>
      <c r="C210" s="196" t="s">
        <v>809</v>
      </c>
      <c r="D210" s="200">
        <v>0.002</v>
      </c>
      <c r="E210" s="287"/>
      <c r="F210" s="287"/>
      <c r="G210" s="200">
        <v>0.001</v>
      </c>
      <c r="H210" s="86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59">
        <f t="shared" si="14"/>
        <v>0.0003333333333333333</v>
      </c>
      <c r="U210" s="161"/>
      <c r="V210" s="162"/>
      <c r="W210" s="255"/>
      <c r="X210" s="32"/>
      <c r="Y210" s="32"/>
      <c r="Z210" s="32"/>
      <c r="AA210" s="32"/>
      <c r="AB210" s="32"/>
      <c r="AC210" s="32"/>
      <c r="AD210" s="33"/>
      <c r="AE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</row>
    <row r="211" spans="2:49" ht="12.75" hidden="1">
      <c r="B211" t="s">
        <v>810</v>
      </c>
      <c r="C211" s="196" t="s">
        <v>811</v>
      </c>
      <c r="D211" s="200">
        <v>0.001</v>
      </c>
      <c r="E211" s="287"/>
      <c r="F211" s="287"/>
      <c r="G211" s="200">
        <v>0</v>
      </c>
      <c r="H211" s="86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59">
        <f t="shared" si="14"/>
        <v>0.00016666666666666666</v>
      </c>
      <c r="U211" s="161"/>
      <c r="V211" s="162"/>
      <c r="W211" s="255"/>
      <c r="X211" s="32"/>
      <c r="Y211" s="32"/>
      <c r="Z211" s="32"/>
      <c r="AA211" s="32"/>
      <c r="AB211" s="32"/>
      <c r="AC211" s="32"/>
      <c r="AD211" s="33"/>
      <c r="AE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</row>
    <row r="212" spans="2:49" ht="12.75" hidden="1">
      <c r="B212" t="s">
        <v>812</v>
      </c>
      <c r="C212" s="196" t="s">
        <v>813</v>
      </c>
      <c r="D212" s="200">
        <v>0</v>
      </c>
      <c r="E212" s="287"/>
      <c r="F212" s="287"/>
      <c r="G212" s="200">
        <v>0.001</v>
      </c>
      <c r="H212" s="86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59">
        <f t="shared" si="14"/>
        <v>0</v>
      </c>
      <c r="U212" s="161"/>
      <c r="V212" s="162"/>
      <c r="W212" s="255"/>
      <c r="X212" s="32"/>
      <c r="Y212" s="32"/>
      <c r="Z212" s="32"/>
      <c r="AA212" s="32"/>
      <c r="AB212" s="32"/>
      <c r="AC212" s="32"/>
      <c r="AD212" s="33"/>
      <c r="AE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</row>
    <row r="213" spans="2:49" ht="12.75" hidden="1">
      <c r="B213" t="s">
        <v>814</v>
      </c>
      <c r="C213" s="196" t="s">
        <v>815</v>
      </c>
      <c r="D213" s="200">
        <v>0.002</v>
      </c>
      <c r="E213" s="287"/>
      <c r="F213" s="287"/>
      <c r="G213" s="200">
        <v>0</v>
      </c>
      <c r="H213" s="86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59">
        <f aca="true" t="shared" si="15" ref="T213:T276">D213/12*2</f>
        <v>0.0003333333333333333</v>
      </c>
      <c r="U213" s="161"/>
      <c r="V213" s="162"/>
      <c r="W213" s="255"/>
      <c r="X213" s="32"/>
      <c r="Y213" s="32"/>
      <c r="Z213" s="32"/>
      <c r="AA213" s="32"/>
      <c r="AB213" s="32"/>
      <c r="AC213" s="32"/>
      <c r="AD213" s="33"/>
      <c r="AE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</row>
    <row r="214" spans="2:49" ht="12.75" hidden="1">
      <c r="B214" t="s">
        <v>816</v>
      </c>
      <c r="C214" s="196" t="s">
        <v>817</v>
      </c>
      <c r="D214" s="200">
        <v>0.02</v>
      </c>
      <c r="E214" s="287"/>
      <c r="F214" s="287"/>
      <c r="G214" s="200">
        <v>0.001</v>
      </c>
      <c r="H214" s="86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59">
        <f t="shared" si="15"/>
        <v>0.0033333333333333335</v>
      </c>
      <c r="U214" s="161"/>
      <c r="V214" s="162"/>
      <c r="W214" s="255"/>
      <c r="X214" s="32"/>
      <c r="Y214" s="32"/>
      <c r="Z214" s="32"/>
      <c r="AA214" s="32"/>
      <c r="AB214" s="32"/>
      <c r="AC214" s="32"/>
      <c r="AD214" s="33"/>
      <c r="AE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</row>
    <row r="215" spans="2:49" ht="12.75" hidden="1">
      <c r="B215" t="s">
        <v>818</v>
      </c>
      <c r="C215" s="196" t="s">
        <v>819</v>
      </c>
      <c r="D215" s="200">
        <v>0.003</v>
      </c>
      <c r="E215" s="287"/>
      <c r="F215" s="287"/>
      <c r="G215" s="200">
        <v>0</v>
      </c>
      <c r="H215" s="86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59">
        <f t="shared" si="15"/>
        <v>0.0005</v>
      </c>
      <c r="U215" s="161"/>
      <c r="V215" s="162"/>
      <c r="W215" s="255"/>
      <c r="X215" s="32"/>
      <c r="Y215" s="32"/>
      <c r="Z215" s="32"/>
      <c r="AA215" s="32"/>
      <c r="AB215" s="32"/>
      <c r="AC215" s="32"/>
      <c r="AD215" s="33"/>
      <c r="AE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</row>
    <row r="216" spans="2:49" ht="12.75" hidden="1">
      <c r="B216" t="s">
        <v>820</v>
      </c>
      <c r="C216" s="196" t="s">
        <v>821</v>
      </c>
      <c r="D216" s="200">
        <v>0.002</v>
      </c>
      <c r="E216" s="287"/>
      <c r="F216" s="287"/>
      <c r="G216" s="200">
        <v>0</v>
      </c>
      <c r="H216" s="86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59">
        <f t="shared" si="15"/>
        <v>0.0003333333333333333</v>
      </c>
      <c r="U216" s="161"/>
      <c r="V216" s="162"/>
      <c r="W216" s="255"/>
      <c r="X216" s="32"/>
      <c r="Y216" s="32"/>
      <c r="Z216" s="32"/>
      <c r="AA216" s="32"/>
      <c r="AB216" s="32"/>
      <c r="AC216" s="32"/>
      <c r="AD216" s="33"/>
      <c r="AE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</row>
    <row r="217" spans="2:49" ht="12.75" hidden="1">
      <c r="B217" t="s">
        <v>822</v>
      </c>
      <c r="C217" s="196" t="s">
        <v>823</v>
      </c>
      <c r="D217" s="200">
        <v>0.008</v>
      </c>
      <c r="E217" s="287"/>
      <c r="F217" s="287"/>
      <c r="G217" s="200">
        <v>0.005</v>
      </c>
      <c r="H217" s="86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59">
        <f t="shared" si="15"/>
        <v>0.0013333333333333333</v>
      </c>
      <c r="U217" s="161"/>
      <c r="V217" s="162"/>
      <c r="W217" s="255"/>
      <c r="X217" s="32"/>
      <c r="Y217" s="32"/>
      <c r="Z217" s="32"/>
      <c r="AA217" s="32"/>
      <c r="AB217" s="32"/>
      <c r="AC217" s="32"/>
      <c r="AD217" s="33"/>
      <c r="AE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</row>
    <row r="218" spans="2:49" ht="12.75" hidden="1">
      <c r="B218" t="s">
        <v>824</v>
      </c>
      <c r="C218" s="196" t="s">
        <v>825</v>
      </c>
      <c r="D218" s="200">
        <v>0.004</v>
      </c>
      <c r="E218" s="287"/>
      <c r="F218" s="287"/>
      <c r="G218" s="200">
        <v>0</v>
      </c>
      <c r="H218" s="86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59">
        <f t="shared" si="15"/>
        <v>0.0006666666666666666</v>
      </c>
      <c r="U218" s="161"/>
      <c r="V218" s="162"/>
      <c r="W218" s="255"/>
      <c r="X218" s="32"/>
      <c r="Y218" s="32"/>
      <c r="Z218" s="32"/>
      <c r="AA218" s="32"/>
      <c r="AB218" s="32"/>
      <c r="AC218" s="32"/>
      <c r="AD218" s="33"/>
      <c r="AE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</row>
    <row r="219" spans="2:49" ht="12.75" hidden="1">
      <c r="B219" t="s">
        <v>826</v>
      </c>
      <c r="C219" s="196" t="s">
        <v>827</v>
      </c>
      <c r="D219" s="200">
        <v>0.001</v>
      </c>
      <c r="E219" s="287"/>
      <c r="F219" s="287"/>
      <c r="G219" s="200">
        <v>0</v>
      </c>
      <c r="H219" s="86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59">
        <f t="shared" si="15"/>
        <v>0.00016666666666666666</v>
      </c>
      <c r="U219" s="161"/>
      <c r="V219" s="162"/>
      <c r="W219" s="255"/>
      <c r="X219" s="32"/>
      <c r="Y219" s="32"/>
      <c r="Z219" s="32"/>
      <c r="AA219" s="32"/>
      <c r="AB219" s="32"/>
      <c r="AC219" s="32"/>
      <c r="AD219" s="33"/>
      <c r="AE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</row>
    <row r="220" spans="1:49" ht="12.75">
      <c r="A220" s="29" t="s">
        <v>202</v>
      </c>
      <c r="B220" s="189" t="s">
        <v>299</v>
      </c>
      <c r="C220" s="196" t="s">
        <v>1170</v>
      </c>
      <c r="D220" s="200">
        <f>SUM(D221:D235)</f>
        <v>0.529</v>
      </c>
      <c r="E220" s="287"/>
      <c r="F220" s="287"/>
      <c r="G220" s="200">
        <f>SUM(G221:G235)</f>
        <v>0.003</v>
      </c>
      <c r="H220" s="86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59">
        <f t="shared" si="15"/>
        <v>0.08816666666666667</v>
      </c>
      <c r="U220" s="161"/>
      <c r="V220" s="162"/>
      <c r="W220" s="255"/>
      <c r="X220" s="32"/>
      <c r="Y220" s="32"/>
      <c r="Z220" s="32"/>
      <c r="AA220" s="32"/>
      <c r="AB220" s="32"/>
      <c r="AC220" s="32"/>
      <c r="AD220" s="33"/>
      <c r="AE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</row>
    <row r="221" spans="2:49" ht="12.75" hidden="1">
      <c r="B221" s="260"/>
      <c r="C221" s="277" t="s">
        <v>930</v>
      </c>
      <c r="D221" s="262">
        <v>0</v>
      </c>
      <c r="E221" s="290"/>
      <c r="F221" s="290"/>
      <c r="G221" s="262">
        <v>0</v>
      </c>
      <c r="H221" s="86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59">
        <f t="shared" si="15"/>
        <v>0</v>
      </c>
      <c r="U221" s="161"/>
      <c r="V221" s="162"/>
      <c r="W221" s="255"/>
      <c r="X221" s="32"/>
      <c r="Y221" s="32"/>
      <c r="Z221" s="32"/>
      <c r="AA221" s="32"/>
      <c r="AB221" s="32"/>
      <c r="AC221" s="32"/>
      <c r="AD221" s="33"/>
      <c r="AE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</row>
    <row r="222" spans="2:49" ht="12.75" hidden="1">
      <c r="B222" s="260"/>
      <c r="C222" s="277"/>
      <c r="D222" s="262">
        <v>0</v>
      </c>
      <c r="E222" s="290"/>
      <c r="F222" s="290"/>
      <c r="G222" s="262">
        <v>0</v>
      </c>
      <c r="H222" s="86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59">
        <f t="shared" si="15"/>
        <v>0</v>
      </c>
      <c r="U222" s="161"/>
      <c r="V222" s="162"/>
      <c r="W222" s="255"/>
      <c r="X222" s="32"/>
      <c r="Y222" s="32"/>
      <c r="Z222" s="32"/>
      <c r="AA222" s="32"/>
      <c r="AB222" s="32"/>
      <c r="AC222" s="32"/>
      <c r="AD222" s="33"/>
      <c r="AE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</row>
    <row r="223" spans="2:49" ht="12.75" hidden="1">
      <c r="B223" t="s">
        <v>931</v>
      </c>
      <c r="C223" s="196" t="s">
        <v>932</v>
      </c>
      <c r="D223" s="200">
        <v>0</v>
      </c>
      <c r="E223" s="287"/>
      <c r="F223" s="287"/>
      <c r="G223" s="200">
        <v>0</v>
      </c>
      <c r="H223" s="86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59">
        <f t="shared" si="15"/>
        <v>0</v>
      </c>
      <c r="U223" s="161"/>
      <c r="V223" s="162"/>
      <c r="W223" s="255"/>
      <c r="X223" s="32"/>
      <c r="Y223" s="32"/>
      <c r="Z223" s="32"/>
      <c r="AA223" s="32"/>
      <c r="AB223" s="32"/>
      <c r="AC223" s="32"/>
      <c r="AD223" s="33"/>
      <c r="AE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</row>
    <row r="224" spans="2:49" ht="12.75" hidden="1">
      <c r="B224"/>
      <c r="C224" s="196"/>
      <c r="D224" s="200">
        <v>0</v>
      </c>
      <c r="E224" s="287"/>
      <c r="F224" s="287"/>
      <c r="G224" s="200">
        <v>0</v>
      </c>
      <c r="H224" s="86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59">
        <f t="shared" si="15"/>
        <v>0</v>
      </c>
      <c r="U224" s="161"/>
      <c r="V224" s="162"/>
      <c r="W224" s="255"/>
      <c r="X224" s="32"/>
      <c r="Y224" s="32"/>
      <c r="Z224" s="32"/>
      <c r="AA224" s="32"/>
      <c r="AB224" s="32"/>
      <c r="AC224" s="32"/>
      <c r="AD224" s="33"/>
      <c r="AE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</row>
    <row r="225" spans="2:49" ht="12.75" hidden="1">
      <c r="B225"/>
      <c r="C225" s="196" t="s">
        <v>933</v>
      </c>
      <c r="D225" s="200">
        <v>0</v>
      </c>
      <c r="E225" s="287"/>
      <c r="F225" s="287"/>
      <c r="G225" s="200">
        <v>0</v>
      </c>
      <c r="H225" s="86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59">
        <f t="shared" si="15"/>
        <v>0</v>
      </c>
      <c r="U225" s="161"/>
      <c r="V225" s="162"/>
      <c r="W225" s="255"/>
      <c r="X225" s="32"/>
      <c r="Y225" s="32"/>
      <c r="Z225" s="32"/>
      <c r="AA225" s="32"/>
      <c r="AB225" s="32"/>
      <c r="AC225" s="32"/>
      <c r="AD225" s="33"/>
      <c r="AE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</row>
    <row r="226" spans="2:49" ht="12.75" hidden="1">
      <c r="B226"/>
      <c r="C226" s="196"/>
      <c r="D226" s="200">
        <v>0</v>
      </c>
      <c r="E226" s="287"/>
      <c r="F226" s="287"/>
      <c r="G226" s="200">
        <v>0</v>
      </c>
      <c r="H226" s="86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59">
        <f t="shared" si="15"/>
        <v>0</v>
      </c>
      <c r="U226" s="161"/>
      <c r="V226" s="162"/>
      <c r="W226" s="255"/>
      <c r="X226" s="32"/>
      <c r="Y226" s="32"/>
      <c r="Z226" s="32"/>
      <c r="AA226" s="32"/>
      <c r="AB226" s="32"/>
      <c r="AC226" s="32"/>
      <c r="AD226" s="33"/>
      <c r="AE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</row>
    <row r="227" spans="2:49" ht="12.75" hidden="1">
      <c r="B227"/>
      <c r="C227" s="196" t="s">
        <v>934</v>
      </c>
      <c r="D227" s="200">
        <v>0</v>
      </c>
      <c r="E227" s="287"/>
      <c r="F227" s="287"/>
      <c r="G227" s="200">
        <v>0</v>
      </c>
      <c r="H227" s="86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59">
        <f t="shared" si="15"/>
        <v>0</v>
      </c>
      <c r="U227" s="161"/>
      <c r="V227" s="162"/>
      <c r="W227" s="255"/>
      <c r="X227" s="32"/>
      <c r="Y227" s="32"/>
      <c r="Z227" s="32"/>
      <c r="AA227" s="32"/>
      <c r="AB227" s="32"/>
      <c r="AC227" s="32"/>
      <c r="AD227" s="33"/>
      <c r="AE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</row>
    <row r="228" spans="2:49" ht="12.75" hidden="1">
      <c r="B228"/>
      <c r="C228" s="196"/>
      <c r="D228" s="200">
        <v>0</v>
      </c>
      <c r="E228" s="287"/>
      <c r="F228" s="287"/>
      <c r="G228" s="200">
        <v>0</v>
      </c>
      <c r="H228" s="86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59">
        <f t="shared" si="15"/>
        <v>0</v>
      </c>
      <c r="U228" s="161"/>
      <c r="V228" s="162"/>
      <c r="W228" s="255"/>
      <c r="X228" s="32"/>
      <c r="Y228" s="32"/>
      <c r="Z228" s="32"/>
      <c r="AA228" s="32"/>
      <c r="AB228" s="32"/>
      <c r="AC228" s="32"/>
      <c r="AD228" s="33"/>
      <c r="AE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</row>
    <row r="229" spans="2:49" ht="12.75" hidden="1">
      <c r="B229" t="s">
        <v>935</v>
      </c>
      <c r="C229" s="196" t="s">
        <v>936</v>
      </c>
      <c r="D229" s="200">
        <v>0.339</v>
      </c>
      <c r="E229" s="287"/>
      <c r="F229" s="287"/>
      <c r="G229" s="200">
        <v>0.003</v>
      </c>
      <c r="H229" s="86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59">
        <f t="shared" si="15"/>
        <v>0.0565</v>
      </c>
      <c r="U229" s="161"/>
      <c r="V229" s="162"/>
      <c r="W229" s="255"/>
      <c r="X229" s="32"/>
      <c r="Y229" s="32"/>
      <c r="Z229" s="32"/>
      <c r="AA229" s="32"/>
      <c r="AB229" s="32"/>
      <c r="AC229" s="32"/>
      <c r="AD229" s="33"/>
      <c r="AE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</row>
    <row r="230" spans="2:49" ht="12.75" hidden="1">
      <c r="B230"/>
      <c r="C230" s="196"/>
      <c r="D230" s="200">
        <v>0</v>
      </c>
      <c r="E230" s="287"/>
      <c r="F230" s="287"/>
      <c r="G230" s="200">
        <v>0</v>
      </c>
      <c r="H230" s="86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59">
        <f t="shared" si="15"/>
        <v>0</v>
      </c>
      <c r="U230" s="161"/>
      <c r="V230" s="162"/>
      <c r="W230" s="255"/>
      <c r="X230" s="32"/>
      <c r="Y230" s="32"/>
      <c r="Z230" s="32"/>
      <c r="AA230" s="32"/>
      <c r="AB230" s="32"/>
      <c r="AC230" s="32"/>
      <c r="AD230" s="33"/>
      <c r="AE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</row>
    <row r="231" spans="2:49" ht="12.75" hidden="1">
      <c r="B231" t="s">
        <v>937</v>
      </c>
      <c r="C231" s="196" t="s">
        <v>938</v>
      </c>
      <c r="D231" s="200">
        <v>0</v>
      </c>
      <c r="E231" s="287"/>
      <c r="F231" s="287"/>
      <c r="G231" s="200">
        <v>0</v>
      </c>
      <c r="H231" s="86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59">
        <f t="shared" si="15"/>
        <v>0</v>
      </c>
      <c r="U231" s="161"/>
      <c r="V231" s="162"/>
      <c r="W231" s="255"/>
      <c r="X231" s="32"/>
      <c r="Y231" s="32"/>
      <c r="Z231" s="32"/>
      <c r="AA231" s="32"/>
      <c r="AB231" s="32"/>
      <c r="AC231" s="32"/>
      <c r="AD231" s="33"/>
      <c r="AE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</row>
    <row r="232" spans="2:49" ht="12.75" hidden="1">
      <c r="B232" t="s">
        <v>939</v>
      </c>
      <c r="C232" s="196" t="s">
        <v>940</v>
      </c>
      <c r="D232" s="200">
        <v>0</v>
      </c>
      <c r="E232" s="287"/>
      <c r="F232" s="287"/>
      <c r="G232" s="200">
        <v>0</v>
      </c>
      <c r="H232" s="86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59">
        <f t="shared" si="15"/>
        <v>0</v>
      </c>
      <c r="U232" s="161"/>
      <c r="V232" s="162"/>
      <c r="W232" s="255"/>
      <c r="X232" s="32"/>
      <c r="Y232" s="32"/>
      <c r="Z232" s="32"/>
      <c r="AA232" s="32"/>
      <c r="AB232" s="32"/>
      <c r="AC232" s="32"/>
      <c r="AD232" s="33"/>
      <c r="AE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</row>
    <row r="233" spans="2:49" ht="12.75" hidden="1">
      <c r="B233"/>
      <c r="C233" s="196"/>
      <c r="D233" s="200">
        <v>0</v>
      </c>
      <c r="E233" s="287"/>
      <c r="F233" s="287"/>
      <c r="G233" s="200">
        <v>0</v>
      </c>
      <c r="H233" s="86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59">
        <f t="shared" si="15"/>
        <v>0</v>
      </c>
      <c r="U233" s="161"/>
      <c r="V233" s="162"/>
      <c r="W233" s="255"/>
      <c r="X233" s="32"/>
      <c r="Y233" s="32"/>
      <c r="Z233" s="32"/>
      <c r="AA233" s="32"/>
      <c r="AB233" s="32"/>
      <c r="AC233" s="32"/>
      <c r="AD233" s="33"/>
      <c r="AE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</row>
    <row r="234" spans="2:49" ht="12.75" hidden="1">
      <c r="B234" t="s">
        <v>941</v>
      </c>
      <c r="C234" s="196" t="s">
        <v>942</v>
      </c>
      <c r="D234" s="200">
        <v>0.19</v>
      </c>
      <c r="E234" s="287"/>
      <c r="F234" s="287"/>
      <c r="G234" s="200">
        <v>0</v>
      </c>
      <c r="H234" s="86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59">
        <f t="shared" si="15"/>
        <v>0.03166666666666667</v>
      </c>
      <c r="U234" s="161"/>
      <c r="V234" s="162"/>
      <c r="W234" s="255"/>
      <c r="X234" s="32"/>
      <c r="Y234" s="32"/>
      <c r="Z234" s="32"/>
      <c r="AA234" s="32"/>
      <c r="AB234" s="32"/>
      <c r="AC234" s="32"/>
      <c r="AD234" s="33"/>
      <c r="AE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</row>
    <row r="235" spans="2:49" ht="12.75" hidden="1">
      <c r="B235" t="s">
        <v>943</v>
      </c>
      <c r="C235" s="196" t="s">
        <v>944</v>
      </c>
      <c r="D235" s="200">
        <v>0</v>
      </c>
      <c r="E235" s="287"/>
      <c r="F235" s="287"/>
      <c r="G235" s="200">
        <v>0</v>
      </c>
      <c r="H235" s="86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59">
        <f t="shared" si="15"/>
        <v>0</v>
      </c>
      <c r="U235" s="161"/>
      <c r="V235" s="162"/>
      <c r="W235" s="255"/>
      <c r="X235" s="32"/>
      <c r="Y235" s="32"/>
      <c r="Z235" s="32"/>
      <c r="AA235" s="32"/>
      <c r="AB235" s="32"/>
      <c r="AC235" s="32"/>
      <c r="AD235" s="33"/>
      <c r="AE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</row>
    <row r="236" spans="2:49" ht="12.75" hidden="1">
      <c r="B236"/>
      <c r="C236" s="196"/>
      <c r="D236" s="200">
        <v>0</v>
      </c>
      <c r="E236" s="287"/>
      <c r="F236" s="287"/>
      <c r="G236" s="200">
        <v>0</v>
      </c>
      <c r="H236" s="86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59">
        <f t="shared" si="15"/>
        <v>0</v>
      </c>
      <c r="U236" s="161"/>
      <c r="V236" s="162"/>
      <c r="W236" s="255"/>
      <c r="X236" s="32"/>
      <c r="Y236" s="32"/>
      <c r="Z236" s="32"/>
      <c r="AA236" s="32"/>
      <c r="AB236" s="32"/>
      <c r="AC236" s="32"/>
      <c r="AD236" s="33"/>
      <c r="AE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</row>
    <row r="237" spans="1:49" ht="12.75">
      <c r="A237" s="29" t="s">
        <v>210</v>
      </c>
      <c r="B237" s="189" t="s">
        <v>299</v>
      </c>
      <c r="C237" s="196" t="s">
        <v>1163</v>
      </c>
      <c r="D237" s="200">
        <f>SUM(D238:D261)</f>
        <v>1.157</v>
      </c>
      <c r="E237" s="287"/>
      <c r="F237" s="287"/>
      <c r="G237" s="200">
        <f>SUM(G238:G261)</f>
        <v>0.16799999999999998</v>
      </c>
      <c r="H237" s="86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59">
        <f t="shared" si="15"/>
        <v>0.19283333333333333</v>
      </c>
      <c r="U237" s="161"/>
      <c r="V237" s="162"/>
      <c r="W237" s="255"/>
      <c r="X237" s="32"/>
      <c r="Y237" s="32"/>
      <c r="Z237" s="32"/>
      <c r="AA237" s="32"/>
      <c r="AB237" s="32"/>
      <c r="AC237" s="32"/>
      <c r="AD237" s="33"/>
      <c r="AE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</row>
    <row r="238" spans="2:49" ht="12.75" hidden="1">
      <c r="B238"/>
      <c r="C238" s="196" t="s">
        <v>945</v>
      </c>
      <c r="D238" s="200">
        <v>0</v>
      </c>
      <c r="E238" s="287"/>
      <c r="F238" s="287"/>
      <c r="G238" s="200">
        <v>0</v>
      </c>
      <c r="H238" s="86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59">
        <f t="shared" si="15"/>
        <v>0</v>
      </c>
      <c r="U238" s="161"/>
      <c r="V238" s="162"/>
      <c r="W238" s="255"/>
      <c r="X238" s="32"/>
      <c r="Y238" s="32"/>
      <c r="Z238" s="32"/>
      <c r="AA238" s="32"/>
      <c r="AB238" s="32"/>
      <c r="AC238" s="32"/>
      <c r="AD238" s="33"/>
      <c r="AE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</row>
    <row r="239" spans="2:49" ht="12.75" hidden="1">
      <c r="B239"/>
      <c r="C239" s="196"/>
      <c r="D239" s="200">
        <v>0</v>
      </c>
      <c r="E239" s="287"/>
      <c r="F239" s="287"/>
      <c r="G239" s="200">
        <v>0</v>
      </c>
      <c r="H239" s="86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59">
        <f t="shared" si="15"/>
        <v>0</v>
      </c>
      <c r="U239" s="161"/>
      <c r="V239" s="162"/>
      <c r="W239" s="255"/>
      <c r="X239" s="32"/>
      <c r="Y239" s="32"/>
      <c r="Z239" s="32"/>
      <c r="AA239" s="32"/>
      <c r="AB239" s="32"/>
      <c r="AC239" s="32"/>
      <c r="AD239" s="33"/>
      <c r="AE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</row>
    <row r="240" spans="2:49" ht="12.75" hidden="1">
      <c r="B240"/>
      <c r="C240" s="196"/>
      <c r="D240" s="200">
        <v>0</v>
      </c>
      <c r="E240" s="287"/>
      <c r="F240" s="287"/>
      <c r="G240" s="200">
        <v>0</v>
      </c>
      <c r="H240" s="86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59">
        <f t="shared" si="15"/>
        <v>0</v>
      </c>
      <c r="U240" s="161"/>
      <c r="V240" s="162"/>
      <c r="W240" s="255"/>
      <c r="X240" s="32"/>
      <c r="Y240" s="32"/>
      <c r="Z240" s="32"/>
      <c r="AA240" s="32"/>
      <c r="AB240" s="32"/>
      <c r="AC240" s="32"/>
      <c r="AD240" s="33"/>
      <c r="AE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</row>
    <row r="241" spans="2:49" ht="12.75" hidden="1">
      <c r="B241" t="s">
        <v>946</v>
      </c>
      <c r="C241" s="196" t="s">
        <v>947</v>
      </c>
      <c r="D241" s="200">
        <v>0</v>
      </c>
      <c r="E241" s="287"/>
      <c r="F241" s="287"/>
      <c r="G241" s="200">
        <v>0</v>
      </c>
      <c r="H241" s="86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59">
        <f t="shared" si="15"/>
        <v>0</v>
      </c>
      <c r="U241" s="161"/>
      <c r="V241" s="162"/>
      <c r="W241" s="255"/>
      <c r="X241" s="32"/>
      <c r="Y241" s="32"/>
      <c r="Z241" s="32"/>
      <c r="AA241" s="32"/>
      <c r="AB241" s="32"/>
      <c r="AC241" s="32"/>
      <c r="AD241" s="33"/>
      <c r="AE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</row>
    <row r="242" spans="2:49" ht="12.75" hidden="1">
      <c r="B242"/>
      <c r="C242" s="196"/>
      <c r="D242" s="200">
        <v>0</v>
      </c>
      <c r="E242" s="287"/>
      <c r="F242" s="287"/>
      <c r="G242" s="200">
        <v>0</v>
      </c>
      <c r="H242" s="86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59">
        <f t="shared" si="15"/>
        <v>0</v>
      </c>
      <c r="U242" s="161"/>
      <c r="V242" s="162"/>
      <c r="W242" s="255"/>
      <c r="X242" s="32"/>
      <c r="Y242" s="32"/>
      <c r="Z242" s="32"/>
      <c r="AA242" s="32"/>
      <c r="AB242" s="32"/>
      <c r="AC242" s="32"/>
      <c r="AD242" s="33"/>
      <c r="AE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</row>
    <row r="243" spans="2:49" ht="12.75" hidden="1">
      <c r="B243" t="s">
        <v>948</v>
      </c>
      <c r="C243" s="196" t="s">
        <v>949</v>
      </c>
      <c r="D243" s="200">
        <v>0.001</v>
      </c>
      <c r="E243" s="287"/>
      <c r="F243" s="287"/>
      <c r="G243" s="200">
        <v>0</v>
      </c>
      <c r="H243" s="86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59">
        <f t="shared" si="15"/>
        <v>0.00016666666666666666</v>
      </c>
      <c r="U243" s="161"/>
      <c r="V243" s="162"/>
      <c r="W243" s="255"/>
      <c r="X243" s="32"/>
      <c r="Y243" s="32"/>
      <c r="Z243" s="32"/>
      <c r="AA243" s="32"/>
      <c r="AB243" s="32"/>
      <c r="AC243" s="32"/>
      <c r="AD243" s="33"/>
      <c r="AE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</row>
    <row r="244" spans="2:49" ht="12.75" hidden="1">
      <c r="B244" t="s">
        <v>950</v>
      </c>
      <c r="C244" s="196" t="s">
        <v>951</v>
      </c>
      <c r="D244" s="200">
        <v>0</v>
      </c>
      <c r="E244" s="287"/>
      <c r="F244" s="287"/>
      <c r="G244" s="200">
        <v>0.001</v>
      </c>
      <c r="H244" s="86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59">
        <f t="shared" si="15"/>
        <v>0</v>
      </c>
      <c r="U244" s="161"/>
      <c r="V244" s="162"/>
      <c r="W244" s="255"/>
      <c r="X244" s="32"/>
      <c r="Y244" s="32"/>
      <c r="Z244" s="32"/>
      <c r="AA244" s="32"/>
      <c r="AB244" s="32"/>
      <c r="AC244" s="32"/>
      <c r="AD244" s="33"/>
      <c r="AE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</row>
    <row r="245" spans="2:49" ht="12.75" hidden="1">
      <c r="B245" t="s">
        <v>952</v>
      </c>
      <c r="C245" s="196" t="s">
        <v>953</v>
      </c>
      <c r="D245" s="200">
        <v>0.004</v>
      </c>
      <c r="E245" s="287"/>
      <c r="F245" s="287"/>
      <c r="G245" s="200">
        <v>0</v>
      </c>
      <c r="H245" s="86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59">
        <f t="shared" si="15"/>
        <v>0.0006666666666666666</v>
      </c>
      <c r="U245" s="161"/>
      <c r="V245" s="162"/>
      <c r="W245" s="255"/>
      <c r="X245" s="32"/>
      <c r="Y245" s="32"/>
      <c r="Z245" s="32"/>
      <c r="AA245" s="32"/>
      <c r="AB245" s="32"/>
      <c r="AC245" s="32"/>
      <c r="AD245" s="33"/>
      <c r="AE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</row>
    <row r="246" spans="2:49" ht="12.75" hidden="1">
      <c r="B246" t="s">
        <v>954</v>
      </c>
      <c r="C246" s="196" t="s">
        <v>955</v>
      </c>
      <c r="D246" s="200">
        <v>0.01</v>
      </c>
      <c r="E246" s="287"/>
      <c r="F246" s="287"/>
      <c r="G246" s="200">
        <v>0</v>
      </c>
      <c r="H246" s="86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59">
        <f t="shared" si="15"/>
        <v>0.0016666666666666668</v>
      </c>
      <c r="U246" s="161"/>
      <c r="V246" s="162"/>
      <c r="W246" s="255"/>
      <c r="X246" s="32"/>
      <c r="Y246" s="32"/>
      <c r="Z246" s="32"/>
      <c r="AA246" s="32"/>
      <c r="AB246" s="32"/>
      <c r="AC246" s="32"/>
      <c r="AD246" s="33"/>
      <c r="AE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</row>
    <row r="247" spans="2:49" ht="12.75" hidden="1">
      <c r="B247" t="s">
        <v>956</v>
      </c>
      <c r="C247" s="196" t="s">
        <v>957</v>
      </c>
      <c r="D247" s="200">
        <v>0</v>
      </c>
      <c r="E247" s="287"/>
      <c r="F247" s="287"/>
      <c r="G247" s="200">
        <v>0</v>
      </c>
      <c r="H247" s="86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59">
        <f t="shared" si="15"/>
        <v>0</v>
      </c>
      <c r="U247" s="161"/>
      <c r="V247" s="162"/>
      <c r="W247" s="255"/>
      <c r="X247" s="32"/>
      <c r="Y247" s="32"/>
      <c r="Z247" s="32"/>
      <c r="AA247" s="32"/>
      <c r="AB247" s="32"/>
      <c r="AC247" s="32"/>
      <c r="AD247" s="33"/>
      <c r="AE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</row>
    <row r="248" spans="2:49" ht="12.75" hidden="1">
      <c r="B248"/>
      <c r="C248" s="196"/>
      <c r="D248" s="200">
        <v>0</v>
      </c>
      <c r="E248" s="287"/>
      <c r="F248" s="287"/>
      <c r="G248" s="200">
        <v>0</v>
      </c>
      <c r="H248" s="86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59">
        <f t="shared" si="15"/>
        <v>0</v>
      </c>
      <c r="U248" s="161"/>
      <c r="V248" s="162"/>
      <c r="W248" s="255"/>
      <c r="X248" s="32"/>
      <c r="Y248" s="32"/>
      <c r="Z248" s="32"/>
      <c r="AA248" s="32"/>
      <c r="AB248" s="32"/>
      <c r="AC248" s="32"/>
      <c r="AD248" s="33"/>
      <c r="AE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</row>
    <row r="249" spans="2:49" ht="12.75" hidden="1">
      <c r="B249"/>
      <c r="C249" s="196"/>
      <c r="D249" s="200">
        <v>0</v>
      </c>
      <c r="E249" s="287"/>
      <c r="F249" s="287"/>
      <c r="G249" s="200">
        <v>0</v>
      </c>
      <c r="H249" s="86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59">
        <f t="shared" si="15"/>
        <v>0</v>
      </c>
      <c r="U249" s="161"/>
      <c r="V249" s="162"/>
      <c r="W249" s="255"/>
      <c r="X249" s="32"/>
      <c r="Y249" s="32"/>
      <c r="Z249" s="32"/>
      <c r="AA249" s="32"/>
      <c r="AB249" s="32"/>
      <c r="AC249" s="32"/>
      <c r="AD249" s="33"/>
      <c r="AE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</row>
    <row r="250" spans="2:49" ht="12.75" hidden="1">
      <c r="B250"/>
      <c r="C250" s="196"/>
      <c r="D250" s="200">
        <v>0</v>
      </c>
      <c r="E250" s="287"/>
      <c r="F250" s="287"/>
      <c r="G250" s="200">
        <v>0</v>
      </c>
      <c r="H250" s="86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59">
        <f t="shared" si="15"/>
        <v>0</v>
      </c>
      <c r="U250" s="161"/>
      <c r="V250" s="162"/>
      <c r="W250" s="255"/>
      <c r="X250" s="32"/>
      <c r="Y250" s="32"/>
      <c r="Z250" s="32"/>
      <c r="AA250" s="32"/>
      <c r="AB250" s="32"/>
      <c r="AC250" s="32"/>
      <c r="AD250" s="33"/>
      <c r="AE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</row>
    <row r="251" spans="2:49" ht="12.75" hidden="1">
      <c r="B251"/>
      <c r="C251" s="196"/>
      <c r="D251" s="200">
        <v>0</v>
      </c>
      <c r="E251" s="287"/>
      <c r="F251" s="287"/>
      <c r="G251" s="200">
        <v>0</v>
      </c>
      <c r="H251" s="86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59">
        <f t="shared" si="15"/>
        <v>0</v>
      </c>
      <c r="U251" s="161"/>
      <c r="V251" s="162"/>
      <c r="W251" s="255"/>
      <c r="X251" s="32"/>
      <c r="Y251" s="32"/>
      <c r="Z251" s="32"/>
      <c r="AA251" s="32"/>
      <c r="AB251" s="32"/>
      <c r="AC251" s="32"/>
      <c r="AD251" s="33"/>
      <c r="AE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</row>
    <row r="252" spans="2:49" ht="12.75" hidden="1">
      <c r="B252"/>
      <c r="C252" s="196" t="s">
        <v>958</v>
      </c>
      <c r="D252" s="200">
        <v>0</v>
      </c>
      <c r="E252" s="287"/>
      <c r="F252" s="287"/>
      <c r="G252" s="200">
        <v>0</v>
      </c>
      <c r="H252" s="86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59">
        <f t="shared" si="15"/>
        <v>0</v>
      </c>
      <c r="U252" s="161"/>
      <c r="V252" s="162"/>
      <c r="W252" s="255"/>
      <c r="X252" s="32"/>
      <c r="Y252" s="32"/>
      <c r="Z252" s="32"/>
      <c r="AA252" s="32"/>
      <c r="AB252" s="32"/>
      <c r="AC252" s="32"/>
      <c r="AD252" s="33"/>
      <c r="AE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</row>
    <row r="253" spans="2:49" ht="12.75" hidden="1">
      <c r="B253" t="s">
        <v>959</v>
      </c>
      <c r="C253" s="196" t="s">
        <v>960</v>
      </c>
      <c r="D253" s="200">
        <v>0.005</v>
      </c>
      <c r="E253" s="287"/>
      <c r="F253" s="287"/>
      <c r="G253" s="200">
        <v>0</v>
      </c>
      <c r="H253" s="86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59">
        <f t="shared" si="15"/>
        <v>0.0008333333333333334</v>
      </c>
      <c r="U253" s="161"/>
      <c r="V253" s="162"/>
      <c r="W253" s="255"/>
      <c r="X253" s="32"/>
      <c r="Y253" s="32"/>
      <c r="Z253" s="32"/>
      <c r="AA253" s="32"/>
      <c r="AB253" s="32"/>
      <c r="AC253" s="32"/>
      <c r="AD253" s="33"/>
      <c r="AE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</row>
    <row r="254" spans="2:49" ht="12.75" hidden="1">
      <c r="B254" t="s">
        <v>961</v>
      </c>
      <c r="C254" s="196" t="s">
        <v>962</v>
      </c>
      <c r="D254" s="200">
        <v>0.009</v>
      </c>
      <c r="E254" s="287"/>
      <c r="F254" s="287"/>
      <c r="G254" s="200">
        <v>0</v>
      </c>
      <c r="H254" s="86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59">
        <f t="shared" si="15"/>
        <v>0.0014999999999999998</v>
      </c>
      <c r="U254" s="161"/>
      <c r="V254" s="162"/>
      <c r="W254" s="255"/>
      <c r="X254" s="32"/>
      <c r="Y254" s="32"/>
      <c r="Z254" s="32"/>
      <c r="AA254" s="32"/>
      <c r="AB254" s="32"/>
      <c r="AC254" s="32"/>
      <c r="AD254" s="33"/>
      <c r="AE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</row>
    <row r="255" spans="2:49" ht="12.75" hidden="1">
      <c r="B255" t="s">
        <v>963</v>
      </c>
      <c r="C255" s="196" t="s">
        <v>964</v>
      </c>
      <c r="D255" s="200">
        <v>0</v>
      </c>
      <c r="E255" s="287"/>
      <c r="F255" s="287"/>
      <c r="G255" s="200">
        <v>0</v>
      </c>
      <c r="H255" s="86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59">
        <f t="shared" si="15"/>
        <v>0</v>
      </c>
      <c r="U255" s="161"/>
      <c r="V255" s="162"/>
      <c r="W255" s="255"/>
      <c r="X255" s="32"/>
      <c r="Y255" s="32"/>
      <c r="Z255" s="32"/>
      <c r="AA255" s="32"/>
      <c r="AB255" s="32"/>
      <c r="AC255" s="32"/>
      <c r="AD255" s="33"/>
      <c r="AE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</row>
    <row r="256" spans="2:49" ht="12.75" hidden="1">
      <c r="B256" t="s">
        <v>965</v>
      </c>
      <c r="C256" s="196" t="s">
        <v>966</v>
      </c>
      <c r="D256" s="200">
        <v>0.018</v>
      </c>
      <c r="E256" s="287"/>
      <c r="F256" s="287"/>
      <c r="G256" s="200">
        <v>0</v>
      </c>
      <c r="H256" s="86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59">
        <f t="shared" si="15"/>
        <v>0.0029999999999999996</v>
      </c>
      <c r="U256" s="161"/>
      <c r="V256" s="162"/>
      <c r="W256" s="255"/>
      <c r="X256" s="32"/>
      <c r="Y256" s="32"/>
      <c r="Z256" s="32"/>
      <c r="AA256" s="32"/>
      <c r="AB256" s="32"/>
      <c r="AC256" s="32"/>
      <c r="AD256" s="33"/>
      <c r="AE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</row>
    <row r="257" spans="2:49" ht="12.75" hidden="1">
      <c r="B257" t="s">
        <v>967</v>
      </c>
      <c r="C257" s="196" t="s">
        <v>968</v>
      </c>
      <c r="D257" s="200">
        <v>0.003</v>
      </c>
      <c r="E257" s="287"/>
      <c r="F257" s="287"/>
      <c r="G257" s="200">
        <v>0.002</v>
      </c>
      <c r="H257" s="86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59">
        <f t="shared" si="15"/>
        <v>0.0005</v>
      </c>
      <c r="U257" s="161"/>
      <c r="V257" s="162"/>
      <c r="W257" s="255"/>
      <c r="X257" s="32"/>
      <c r="Y257" s="32"/>
      <c r="Z257" s="32"/>
      <c r="AA257" s="32"/>
      <c r="AB257" s="32"/>
      <c r="AC257" s="32"/>
      <c r="AD257" s="33"/>
      <c r="AE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</row>
    <row r="258" spans="2:49" ht="12.75" hidden="1">
      <c r="B258" t="s">
        <v>969</v>
      </c>
      <c r="C258" s="196" t="s">
        <v>970</v>
      </c>
      <c r="D258" s="200">
        <v>0.023</v>
      </c>
      <c r="E258" s="287"/>
      <c r="F258" s="287"/>
      <c r="G258" s="200">
        <v>0.004</v>
      </c>
      <c r="H258" s="86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59">
        <f t="shared" si="15"/>
        <v>0.003833333333333333</v>
      </c>
      <c r="U258" s="161"/>
      <c r="V258" s="162"/>
      <c r="W258" s="255"/>
      <c r="X258" s="32"/>
      <c r="Y258" s="32"/>
      <c r="Z258" s="32"/>
      <c r="AA258" s="32"/>
      <c r="AB258" s="32"/>
      <c r="AC258" s="32"/>
      <c r="AD258" s="33"/>
      <c r="AE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</row>
    <row r="259" spans="2:49" ht="12.75" hidden="1">
      <c r="B259" t="s">
        <v>971</v>
      </c>
      <c r="C259" s="196" t="s">
        <v>972</v>
      </c>
      <c r="D259" s="200">
        <v>0.019</v>
      </c>
      <c r="E259" s="287"/>
      <c r="F259" s="287"/>
      <c r="G259" s="200">
        <v>0</v>
      </c>
      <c r="H259" s="86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59">
        <f t="shared" si="15"/>
        <v>0.0031666666666666666</v>
      </c>
      <c r="U259" s="161"/>
      <c r="V259" s="162"/>
      <c r="W259" s="255"/>
      <c r="X259" s="32"/>
      <c r="Y259" s="32"/>
      <c r="Z259" s="32"/>
      <c r="AA259" s="32"/>
      <c r="AB259" s="32"/>
      <c r="AC259" s="32"/>
      <c r="AD259" s="33"/>
      <c r="AE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</row>
    <row r="260" spans="2:49" ht="12.75" hidden="1">
      <c r="B260" t="s">
        <v>973</v>
      </c>
      <c r="C260" s="196" t="s">
        <v>974</v>
      </c>
      <c r="D260" s="200">
        <v>0.044</v>
      </c>
      <c r="E260" s="287"/>
      <c r="F260" s="287"/>
      <c r="G260" s="200">
        <v>0.01</v>
      </c>
      <c r="H260" s="86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59">
        <f t="shared" si="15"/>
        <v>0.007333333333333333</v>
      </c>
      <c r="U260" s="161"/>
      <c r="V260" s="162"/>
      <c r="W260" s="255"/>
      <c r="X260" s="32"/>
      <c r="Y260" s="32"/>
      <c r="Z260" s="32"/>
      <c r="AA260" s="32"/>
      <c r="AB260" s="32"/>
      <c r="AC260" s="32"/>
      <c r="AD260" s="33"/>
      <c r="AE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</row>
    <row r="261" spans="2:49" ht="12.75" hidden="1">
      <c r="B261" t="s">
        <v>975</v>
      </c>
      <c r="C261" s="196" t="s">
        <v>976</v>
      </c>
      <c r="D261" s="200">
        <v>1.021</v>
      </c>
      <c r="E261" s="287"/>
      <c r="F261" s="287"/>
      <c r="G261" s="200">
        <v>0.151</v>
      </c>
      <c r="H261" s="86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59">
        <f t="shared" si="15"/>
        <v>0.17016666666666666</v>
      </c>
      <c r="U261" s="161"/>
      <c r="V261" s="162"/>
      <c r="W261" s="255"/>
      <c r="X261" s="32"/>
      <c r="Y261" s="32"/>
      <c r="Z261" s="32"/>
      <c r="AA261" s="32"/>
      <c r="AB261" s="32"/>
      <c r="AC261" s="32"/>
      <c r="AD261" s="33"/>
      <c r="AE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</row>
    <row r="262" spans="1:49" ht="12.75">
      <c r="A262" s="29" t="s">
        <v>203</v>
      </c>
      <c r="B262" s="189" t="s">
        <v>299</v>
      </c>
      <c r="C262" s="196" t="s">
        <v>1164</v>
      </c>
      <c r="D262" s="200">
        <f>SUM(D263:D286)</f>
        <v>0.343</v>
      </c>
      <c r="E262" s="287"/>
      <c r="F262" s="287"/>
      <c r="G262" s="200">
        <f>SUM(G263:G286)</f>
        <v>0.004</v>
      </c>
      <c r="H262" s="86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59">
        <f t="shared" si="15"/>
        <v>0.05716666666666667</v>
      </c>
      <c r="U262" s="161"/>
      <c r="V262" s="162"/>
      <c r="W262" s="255"/>
      <c r="X262" s="32"/>
      <c r="Y262" s="32"/>
      <c r="Z262" s="32"/>
      <c r="AA262" s="32"/>
      <c r="AB262" s="32"/>
      <c r="AC262" s="32"/>
      <c r="AD262" s="33"/>
      <c r="AE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</row>
    <row r="263" spans="2:49" ht="12.75" hidden="1">
      <c r="B263" t="s">
        <v>977</v>
      </c>
      <c r="C263" s="196" t="s">
        <v>978</v>
      </c>
      <c r="D263" s="200">
        <v>0.004</v>
      </c>
      <c r="E263" s="287"/>
      <c r="F263" s="287"/>
      <c r="G263" s="200">
        <v>0</v>
      </c>
      <c r="H263" s="86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59">
        <f t="shared" si="15"/>
        <v>0.0006666666666666666</v>
      </c>
      <c r="U263" s="161"/>
      <c r="V263" s="162"/>
      <c r="W263" s="255"/>
      <c r="X263" s="32"/>
      <c r="Y263" s="32"/>
      <c r="Z263" s="32"/>
      <c r="AA263" s="32"/>
      <c r="AB263" s="32"/>
      <c r="AC263" s="32"/>
      <c r="AD263" s="33"/>
      <c r="AE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</row>
    <row r="264" spans="2:49" ht="12.75" hidden="1">
      <c r="B264" t="s">
        <v>979</v>
      </c>
      <c r="C264" s="196" t="s">
        <v>980</v>
      </c>
      <c r="D264" s="200">
        <v>0</v>
      </c>
      <c r="E264" s="287"/>
      <c r="F264" s="287"/>
      <c r="G264" s="200">
        <v>0</v>
      </c>
      <c r="H264" s="86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59">
        <f t="shared" si="15"/>
        <v>0</v>
      </c>
      <c r="U264" s="161"/>
      <c r="V264" s="162"/>
      <c r="W264" s="255"/>
      <c r="X264" s="32"/>
      <c r="Y264" s="32"/>
      <c r="Z264" s="32"/>
      <c r="AA264" s="32"/>
      <c r="AB264" s="32"/>
      <c r="AC264" s="32"/>
      <c r="AD264" s="33"/>
      <c r="AE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</row>
    <row r="265" spans="2:49" ht="12.75" hidden="1">
      <c r="B265" t="s">
        <v>981</v>
      </c>
      <c r="C265" s="196" t="s">
        <v>982</v>
      </c>
      <c r="D265" s="200">
        <v>0</v>
      </c>
      <c r="E265" s="287"/>
      <c r="F265" s="287"/>
      <c r="G265" s="200">
        <v>0</v>
      </c>
      <c r="H265" s="86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59">
        <f t="shared" si="15"/>
        <v>0</v>
      </c>
      <c r="U265" s="161"/>
      <c r="V265" s="162"/>
      <c r="W265" s="255"/>
      <c r="X265" s="32"/>
      <c r="Y265" s="32"/>
      <c r="Z265" s="32"/>
      <c r="AA265" s="32"/>
      <c r="AB265" s="32"/>
      <c r="AC265" s="32"/>
      <c r="AD265" s="33"/>
      <c r="AE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</row>
    <row r="266" spans="2:49" ht="12.75" hidden="1">
      <c r="B266" t="s">
        <v>983</v>
      </c>
      <c r="C266" s="196" t="s">
        <v>984</v>
      </c>
      <c r="D266" s="200">
        <v>0</v>
      </c>
      <c r="E266" s="287"/>
      <c r="F266" s="287"/>
      <c r="G266" s="200">
        <v>0</v>
      </c>
      <c r="H266" s="86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59">
        <f t="shared" si="15"/>
        <v>0</v>
      </c>
      <c r="U266" s="161"/>
      <c r="V266" s="162"/>
      <c r="W266" s="255"/>
      <c r="X266" s="32"/>
      <c r="Y266" s="32"/>
      <c r="Z266" s="32"/>
      <c r="AA266" s="32"/>
      <c r="AB266" s="32"/>
      <c r="AC266" s="32"/>
      <c r="AD266" s="33"/>
      <c r="AE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</row>
    <row r="267" spans="2:49" ht="12.75" hidden="1">
      <c r="B267" t="s">
        <v>985</v>
      </c>
      <c r="C267" s="196" t="s">
        <v>986</v>
      </c>
      <c r="D267" s="200">
        <v>0</v>
      </c>
      <c r="E267" s="287"/>
      <c r="F267" s="287"/>
      <c r="G267" s="200">
        <v>0</v>
      </c>
      <c r="H267" s="86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59">
        <f t="shared" si="15"/>
        <v>0</v>
      </c>
      <c r="U267" s="161"/>
      <c r="V267" s="162"/>
      <c r="W267" s="255"/>
      <c r="X267" s="32"/>
      <c r="Y267" s="32"/>
      <c r="Z267" s="32"/>
      <c r="AA267" s="32"/>
      <c r="AB267" s="32"/>
      <c r="AC267" s="32"/>
      <c r="AD267" s="33"/>
      <c r="AE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</row>
    <row r="268" spans="2:49" ht="12.75" hidden="1">
      <c r="B268" t="s">
        <v>987</v>
      </c>
      <c r="C268" s="196" t="s">
        <v>988</v>
      </c>
      <c r="D268" s="200">
        <v>0</v>
      </c>
      <c r="E268" s="287"/>
      <c r="F268" s="287"/>
      <c r="G268" s="200">
        <v>0</v>
      </c>
      <c r="H268" s="86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59">
        <f t="shared" si="15"/>
        <v>0</v>
      </c>
      <c r="U268" s="161"/>
      <c r="V268" s="162"/>
      <c r="W268" s="255"/>
      <c r="X268" s="32"/>
      <c r="Y268" s="32"/>
      <c r="Z268" s="32"/>
      <c r="AA268" s="32"/>
      <c r="AB268" s="32"/>
      <c r="AC268" s="32"/>
      <c r="AD268" s="33"/>
      <c r="AE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</row>
    <row r="269" spans="2:49" ht="12.75" hidden="1">
      <c r="B269" t="s">
        <v>989</v>
      </c>
      <c r="C269" s="196" t="s">
        <v>990</v>
      </c>
      <c r="D269" s="200">
        <v>0.001</v>
      </c>
      <c r="E269" s="287"/>
      <c r="F269" s="287"/>
      <c r="G269" s="200">
        <v>0</v>
      </c>
      <c r="H269" s="86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59">
        <f t="shared" si="15"/>
        <v>0.00016666666666666666</v>
      </c>
      <c r="U269" s="161"/>
      <c r="V269" s="162"/>
      <c r="W269" s="255"/>
      <c r="X269" s="32"/>
      <c r="Y269" s="32"/>
      <c r="Z269" s="32"/>
      <c r="AA269" s="32"/>
      <c r="AB269" s="32"/>
      <c r="AC269" s="32"/>
      <c r="AD269" s="33"/>
      <c r="AE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</row>
    <row r="270" spans="2:49" ht="12.75" hidden="1">
      <c r="B270" t="s">
        <v>991</v>
      </c>
      <c r="C270" s="196" t="s">
        <v>992</v>
      </c>
      <c r="D270" s="200">
        <v>0.013</v>
      </c>
      <c r="E270" s="287"/>
      <c r="F270" s="287"/>
      <c r="G270" s="200">
        <v>0</v>
      </c>
      <c r="H270" s="86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59">
        <f t="shared" si="15"/>
        <v>0.0021666666666666666</v>
      </c>
      <c r="U270" s="161"/>
      <c r="V270" s="162"/>
      <c r="W270" s="255"/>
      <c r="X270" s="32"/>
      <c r="Y270" s="32"/>
      <c r="Z270" s="32"/>
      <c r="AA270" s="32"/>
      <c r="AB270" s="32"/>
      <c r="AC270" s="32"/>
      <c r="AD270" s="33"/>
      <c r="AE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</row>
    <row r="271" spans="2:49" ht="12.75" hidden="1">
      <c r="B271" t="s">
        <v>993</v>
      </c>
      <c r="C271" s="196" t="s">
        <v>994</v>
      </c>
      <c r="D271" s="200">
        <v>0.045</v>
      </c>
      <c r="E271" s="287"/>
      <c r="F271" s="287"/>
      <c r="G271" s="200">
        <v>0</v>
      </c>
      <c r="H271" s="86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59">
        <f t="shared" si="15"/>
        <v>0.0075</v>
      </c>
      <c r="U271" s="161"/>
      <c r="V271" s="162"/>
      <c r="W271" s="255"/>
      <c r="X271" s="32"/>
      <c r="Y271" s="32"/>
      <c r="Z271" s="32"/>
      <c r="AA271" s="32"/>
      <c r="AB271" s="32"/>
      <c r="AC271" s="32"/>
      <c r="AD271" s="33"/>
      <c r="AE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</row>
    <row r="272" spans="2:49" ht="12.75" hidden="1">
      <c r="B272" t="s">
        <v>995</v>
      </c>
      <c r="C272" s="196" t="s">
        <v>996</v>
      </c>
      <c r="D272" s="200">
        <v>0.007</v>
      </c>
      <c r="E272" s="287"/>
      <c r="F272" s="287"/>
      <c r="G272" s="200">
        <v>0</v>
      </c>
      <c r="H272" s="86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59">
        <f t="shared" si="15"/>
        <v>0.0011666666666666668</v>
      </c>
      <c r="U272" s="161"/>
      <c r="V272" s="162"/>
      <c r="W272" s="255"/>
      <c r="X272" s="32"/>
      <c r="Y272" s="32"/>
      <c r="Z272" s="32"/>
      <c r="AA272" s="32"/>
      <c r="AB272" s="32"/>
      <c r="AC272" s="32"/>
      <c r="AD272" s="33"/>
      <c r="AE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</row>
    <row r="273" spans="2:49" ht="12.75" hidden="1">
      <c r="B273" t="s">
        <v>997</v>
      </c>
      <c r="C273" s="196" t="s">
        <v>998</v>
      </c>
      <c r="D273" s="200">
        <v>0</v>
      </c>
      <c r="E273" s="287"/>
      <c r="F273" s="287"/>
      <c r="G273" s="200">
        <v>0</v>
      </c>
      <c r="H273" s="86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59">
        <f t="shared" si="15"/>
        <v>0</v>
      </c>
      <c r="U273" s="161"/>
      <c r="V273" s="162"/>
      <c r="W273" s="255"/>
      <c r="X273" s="32"/>
      <c r="Y273" s="32"/>
      <c r="Z273" s="32"/>
      <c r="AA273" s="32"/>
      <c r="AB273" s="32"/>
      <c r="AC273" s="32"/>
      <c r="AD273" s="33"/>
      <c r="AE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</row>
    <row r="274" spans="2:49" ht="12.75" hidden="1">
      <c r="B274" t="s">
        <v>999</v>
      </c>
      <c r="C274" s="196" t="s">
        <v>1000</v>
      </c>
      <c r="D274" s="200">
        <v>0.016</v>
      </c>
      <c r="E274" s="287"/>
      <c r="F274" s="287"/>
      <c r="G274" s="200">
        <v>0</v>
      </c>
      <c r="H274" s="86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59">
        <f t="shared" si="15"/>
        <v>0.0026666666666666666</v>
      </c>
      <c r="U274" s="161"/>
      <c r="V274" s="162"/>
      <c r="W274" s="255"/>
      <c r="X274" s="32"/>
      <c r="Y274" s="32"/>
      <c r="Z274" s="32"/>
      <c r="AA274" s="32"/>
      <c r="AB274" s="32"/>
      <c r="AC274" s="32"/>
      <c r="AD274" s="33"/>
      <c r="AE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</row>
    <row r="275" spans="2:49" ht="12.75" hidden="1">
      <c r="B275" t="s">
        <v>1001</v>
      </c>
      <c r="C275" s="196" t="s">
        <v>1002</v>
      </c>
      <c r="D275" s="200">
        <v>0.001</v>
      </c>
      <c r="E275" s="287"/>
      <c r="F275" s="287"/>
      <c r="G275" s="200">
        <v>0</v>
      </c>
      <c r="H275" s="86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59">
        <f t="shared" si="15"/>
        <v>0.00016666666666666666</v>
      </c>
      <c r="U275" s="161"/>
      <c r="V275" s="162"/>
      <c r="W275" s="255"/>
      <c r="X275" s="32"/>
      <c r="Y275" s="32"/>
      <c r="Z275" s="32"/>
      <c r="AA275" s="32"/>
      <c r="AB275" s="32"/>
      <c r="AC275" s="32"/>
      <c r="AD275" s="33"/>
      <c r="AE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</row>
    <row r="276" spans="2:49" ht="12.75" hidden="1">
      <c r="B276" t="s">
        <v>1003</v>
      </c>
      <c r="C276" s="196" t="s">
        <v>1004</v>
      </c>
      <c r="D276" s="200">
        <v>0.003</v>
      </c>
      <c r="E276" s="287"/>
      <c r="F276" s="287"/>
      <c r="G276" s="200">
        <v>0</v>
      </c>
      <c r="H276" s="86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59">
        <f t="shared" si="15"/>
        <v>0.0005</v>
      </c>
      <c r="U276" s="161"/>
      <c r="V276" s="162"/>
      <c r="W276" s="255"/>
      <c r="X276" s="32"/>
      <c r="Y276" s="32"/>
      <c r="Z276" s="32"/>
      <c r="AA276" s="32"/>
      <c r="AB276" s="32"/>
      <c r="AC276" s="32"/>
      <c r="AD276" s="33"/>
      <c r="AE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</row>
    <row r="277" spans="2:49" ht="12.75" hidden="1">
      <c r="B277" t="s">
        <v>1005</v>
      </c>
      <c r="C277" s="196" t="s">
        <v>1006</v>
      </c>
      <c r="D277" s="200">
        <v>0</v>
      </c>
      <c r="E277" s="287"/>
      <c r="F277" s="287"/>
      <c r="G277" s="200">
        <v>0</v>
      </c>
      <c r="H277" s="86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59">
        <f aca="true" t="shared" si="16" ref="T277:T340">D277/12*2</f>
        <v>0</v>
      </c>
      <c r="U277" s="161"/>
      <c r="V277" s="162"/>
      <c r="W277" s="255"/>
      <c r="X277" s="32"/>
      <c r="Y277" s="32"/>
      <c r="Z277" s="32"/>
      <c r="AA277" s="32"/>
      <c r="AB277" s="32"/>
      <c r="AC277" s="32"/>
      <c r="AD277" s="33"/>
      <c r="AE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</row>
    <row r="278" spans="2:49" ht="12.75" hidden="1">
      <c r="B278" t="s">
        <v>1007</v>
      </c>
      <c r="C278" s="196" t="s">
        <v>1008</v>
      </c>
      <c r="D278" s="200">
        <v>0.019</v>
      </c>
      <c r="E278" s="287"/>
      <c r="F278" s="287"/>
      <c r="G278" s="200">
        <v>0</v>
      </c>
      <c r="H278" s="86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59">
        <f t="shared" si="16"/>
        <v>0.0031666666666666666</v>
      </c>
      <c r="U278" s="161"/>
      <c r="V278" s="162"/>
      <c r="W278" s="255"/>
      <c r="X278" s="32"/>
      <c r="Y278" s="32"/>
      <c r="Z278" s="32"/>
      <c r="AA278" s="32"/>
      <c r="AB278" s="32"/>
      <c r="AC278" s="32"/>
      <c r="AD278" s="33"/>
      <c r="AE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</row>
    <row r="279" spans="2:49" ht="12.75" hidden="1">
      <c r="B279" t="s">
        <v>1009</v>
      </c>
      <c r="C279" s="196" t="s">
        <v>1010</v>
      </c>
      <c r="D279" s="200">
        <v>0.032</v>
      </c>
      <c r="E279" s="287"/>
      <c r="F279" s="287"/>
      <c r="G279" s="200">
        <v>0.006</v>
      </c>
      <c r="H279" s="86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59">
        <f t="shared" si="16"/>
        <v>0.005333333333333333</v>
      </c>
      <c r="U279" s="161"/>
      <c r="V279" s="162"/>
      <c r="W279" s="255"/>
      <c r="X279" s="32"/>
      <c r="Y279" s="32"/>
      <c r="Z279" s="32"/>
      <c r="AA279" s="32"/>
      <c r="AB279" s="32"/>
      <c r="AC279" s="32"/>
      <c r="AD279" s="33"/>
      <c r="AE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</row>
    <row r="280" spans="2:49" ht="12.75" hidden="1">
      <c r="B280" t="s">
        <v>1011</v>
      </c>
      <c r="C280" s="196" t="s">
        <v>1012</v>
      </c>
      <c r="D280" s="200">
        <v>0.003</v>
      </c>
      <c r="E280" s="287"/>
      <c r="F280" s="287"/>
      <c r="G280" s="200">
        <v>0</v>
      </c>
      <c r="H280" s="86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59">
        <f t="shared" si="16"/>
        <v>0.0005</v>
      </c>
      <c r="U280" s="161"/>
      <c r="V280" s="162"/>
      <c r="W280" s="255"/>
      <c r="X280" s="32"/>
      <c r="Y280" s="32"/>
      <c r="Z280" s="32"/>
      <c r="AA280" s="32"/>
      <c r="AB280" s="32"/>
      <c r="AC280" s="32"/>
      <c r="AD280" s="33"/>
      <c r="AE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</row>
    <row r="281" spans="2:49" ht="12.75" hidden="1">
      <c r="B281" t="s">
        <v>1013</v>
      </c>
      <c r="C281" s="196" t="s">
        <v>1014</v>
      </c>
      <c r="D281" s="200">
        <v>0</v>
      </c>
      <c r="E281" s="287"/>
      <c r="F281" s="287"/>
      <c r="G281" s="200">
        <v>0</v>
      </c>
      <c r="H281" s="86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59">
        <f t="shared" si="16"/>
        <v>0</v>
      </c>
      <c r="U281" s="161"/>
      <c r="V281" s="162"/>
      <c r="W281" s="255"/>
      <c r="X281" s="32"/>
      <c r="Y281" s="32"/>
      <c r="Z281" s="32"/>
      <c r="AA281" s="32"/>
      <c r="AB281" s="32"/>
      <c r="AC281" s="32"/>
      <c r="AD281" s="33"/>
      <c r="AE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</row>
    <row r="282" spans="2:49" ht="12.75" hidden="1">
      <c r="B282" t="s">
        <v>1015</v>
      </c>
      <c r="C282" s="196" t="s">
        <v>1016</v>
      </c>
      <c r="D282" s="200">
        <v>0</v>
      </c>
      <c r="E282" s="287"/>
      <c r="F282" s="287"/>
      <c r="G282" s="200">
        <v>0</v>
      </c>
      <c r="H282" s="86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59">
        <f t="shared" si="16"/>
        <v>0</v>
      </c>
      <c r="U282" s="161"/>
      <c r="V282" s="162"/>
      <c r="W282" s="255"/>
      <c r="X282" s="32"/>
      <c r="Y282" s="32"/>
      <c r="Z282" s="32"/>
      <c r="AA282" s="32"/>
      <c r="AB282" s="32"/>
      <c r="AC282" s="32"/>
      <c r="AD282" s="33"/>
      <c r="AE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</row>
    <row r="283" spans="2:49" ht="12.75" hidden="1">
      <c r="B283" t="s">
        <v>1017</v>
      </c>
      <c r="C283" s="196" t="s">
        <v>1018</v>
      </c>
      <c r="D283" s="200">
        <v>0.011</v>
      </c>
      <c r="E283" s="287"/>
      <c r="F283" s="287"/>
      <c r="G283" s="200">
        <v>0</v>
      </c>
      <c r="H283" s="86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59">
        <f t="shared" si="16"/>
        <v>0.0018333333333333333</v>
      </c>
      <c r="U283" s="161"/>
      <c r="V283" s="162"/>
      <c r="W283" s="255"/>
      <c r="X283" s="32"/>
      <c r="Y283" s="32"/>
      <c r="Z283" s="32"/>
      <c r="AA283" s="32"/>
      <c r="AB283" s="32"/>
      <c r="AC283" s="32"/>
      <c r="AD283" s="33"/>
      <c r="AE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</row>
    <row r="284" spans="2:49" ht="12.75" hidden="1">
      <c r="B284" t="s">
        <v>1019</v>
      </c>
      <c r="C284" s="196" t="s">
        <v>1020</v>
      </c>
      <c r="D284" s="200">
        <v>0</v>
      </c>
      <c r="E284" s="287"/>
      <c r="F284" s="287"/>
      <c r="G284" s="200">
        <v>-0.002</v>
      </c>
      <c r="H284" s="86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59">
        <f t="shared" si="16"/>
        <v>0</v>
      </c>
      <c r="U284" s="161"/>
      <c r="V284" s="162"/>
      <c r="W284" s="255"/>
      <c r="X284" s="32"/>
      <c r="Y284" s="32"/>
      <c r="Z284" s="32"/>
      <c r="AA284" s="32"/>
      <c r="AB284" s="32"/>
      <c r="AC284" s="32"/>
      <c r="AD284" s="33"/>
      <c r="AE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</row>
    <row r="285" spans="2:49" ht="12.75" hidden="1">
      <c r="B285" t="s">
        <v>1021</v>
      </c>
      <c r="C285" s="196" t="s">
        <v>1022</v>
      </c>
      <c r="D285" s="200">
        <v>0.001</v>
      </c>
      <c r="E285" s="287"/>
      <c r="F285" s="287"/>
      <c r="G285" s="200">
        <v>0</v>
      </c>
      <c r="H285" s="86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59">
        <f t="shared" si="16"/>
        <v>0.00016666666666666666</v>
      </c>
      <c r="U285" s="161"/>
      <c r="V285" s="162"/>
      <c r="W285" s="255"/>
      <c r="X285" s="32"/>
      <c r="Y285" s="32"/>
      <c r="Z285" s="32"/>
      <c r="AA285" s="32"/>
      <c r="AB285" s="32"/>
      <c r="AC285" s="32"/>
      <c r="AD285" s="33"/>
      <c r="AE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</row>
    <row r="286" spans="2:49" ht="12.75" hidden="1">
      <c r="B286" t="s">
        <v>1023</v>
      </c>
      <c r="C286" s="196" t="s">
        <v>1024</v>
      </c>
      <c r="D286" s="200">
        <v>0.187</v>
      </c>
      <c r="E286" s="287"/>
      <c r="F286" s="287"/>
      <c r="G286" s="200">
        <v>0</v>
      </c>
      <c r="H286" s="86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59">
        <f t="shared" si="16"/>
        <v>0.031166666666666665</v>
      </c>
      <c r="U286" s="161"/>
      <c r="V286" s="162"/>
      <c r="W286" s="255"/>
      <c r="X286" s="32"/>
      <c r="Y286" s="32"/>
      <c r="Z286" s="32"/>
      <c r="AA286" s="32"/>
      <c r="AB286" s="32"/>
      <c r="AC286" s="32"/>
      <c r="AD286" s="33"/>
      <c r="AE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</row>
    <row r="287" spans="1:49" ht="12.75">
      <c r="A287" s="29" t="s">
        <v>1165</v>
      </c>
      <c r="B287" s="189" t="s">
        <v>299</v>
      </c>
      <c r="C287" s="196" t="s">
        <v>1166</v>
      </c>
      <c r="D287" s="200">
        <f>SUM(D288:D313)</f>
        <v>0.5</v>
      </c>
      <c r="E287" s="287"/>
      <c r="F287" s="287"/>
      <c r="G287" s="200">
        <f>SUM(G288:G313)</f>
        <v>0.067</v>
      </c>
      <c r="H287" s="86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59">
        <f t="shared" si="16"/>
        <v>0.08333333333333333</v>
      </c>
      <c r="U287" s="161"/>
      <c r="V287" s="162"/>
      <c r="W287" s="255"/>
      <c r="X287" s="32"/>
      <c r="Y287" s="32"/>
      <c r="Z287" s="32"/>
      <c r="AA287" s="32"/>
      <c r="AB287" s="32"/>
      <c r="AC287" s="32"/>
      <c r="AD287" s="33"/>
      <c r="AE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</row>
    <row r="288" spans="2:49" ht="12.75" hidden="1">
      <c r="B288"/>
      <c r="C288" s="196" t="s">
        <v>1025</v>
      </c>
      <c r="D288" s="200">
        <v>0</v>
      </c>
      <c r="E288" s="287"/>
      <c r="F288" s="287"/>
      <c r="G288" s="200">
        <v>0</v>
      </c>
      <c r="H288" s="86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59">
        <f t="shared" si="16"/>
        <v>0</v>
      </c>
      <c r="U288" s="161"/>
      <c r="V288" s="162"/>
      <c r="W288" s="255"/>
      <c r="X288" s="32"/>
      <c r="Y288" s="32"/>
      <c r="Z288" s="32"/>
      <c r="AA288" s="32"/>
      <c r="AB288" s="32"/>
      <c r="AC288" s="32"/>
      <c r="AD288" s="33"/>
      <c r="AE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</row>
    <row r="289" spans="2:49" ht="12.75" hidden="1">
      <c r="B289" t="s">
        <v>1026</v>
      </c>
      <c r="C289" s="196" t="s">
        <v>1027</v>
      </c>
      <c r="D289" s="200">
        <v>0.473</v>
      </c>
      <c r="E289" s="287"/>
      <c r="F289" s="287"/>
      <c r="G289" s="200">
        <v>0</v>
      </c>
      <c r="H289" s="86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59">
        <f t="shared" si="16"/>
        <v>0.07883333333333332</v>
      </c>
      <c r="U289" s="161"/>
      <c r="V289" s="162"/>
      <c r="W289" s="255"/>
      <c r="X289" s="32"/>
      <c r="Y289" s="32"/>
      <c r="Z289" s="32"/>
      <c r="AA289" s="32"/>
      <c r="AB289" s="32"/>
      <c r="AC289" s="32"/>
      <c r="AD289" s="33"/>
      <c r="AE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</row>
    <row r="290" spans="2:49" ht="12.75" hidden="1">
      <c r="B290" t="s">
        <v>1028</v>
      </c>
      <c r="C290" s="196" t="s">
        <v>1029</v>
      </c>
      <c r="D290" s="200">
        <v>0</v>
      </c>
      <c r="E290" s="287"/>
      <c r="F290" s="287"/>
      <c r="G290" s="200">
        <v>0.05</v>
      </c>
      <c r="H290" s="86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59">
        <f t="shared" si="16"/>
        <v>0</v>
      </c>
      <c r="U290" s="161"/>
      <c r="V290" s="162"/>
      <c r="W290" s="255"/>
      <c r="X290" s="32"/>
      <c r="Y290" s="32"/>
      <c r="Z290" s="32"/>
      <c r="AA290" s="32"/>
      <c r="AB290" s="32"/>
      <c r="AC290" s="32"/>
      <c r="AD290" s="33"/>
      <c r="AE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</row>
    <row r="291" spans="2:49" ht="12.75" hidden="1">
      <c r="B291" t="s">
        <v>1030</v>
      </c>
      <c r="C291" s="196" t="s">
        <v>1031</v>
      </c>
      <c r="D291" s="200">
        <v>0</v>
      </c>
      <c r="E291" s="287"/>
      <c r="F291" s="287"/>
      <c r="G291" s="200">
        <v>0.003</v>
      </c>
      <c r="H291" s="86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59">
        <f t="shared" si="16"/>
        <v>0</v>
      </c>
      <c r="U291" s="161"/>
      <c r="V291" s="162"/>
      <c r="W291" s="255"/>
      <c r="X291" s="32"/>
      <c r="Y291" s="32"/>
      <c r="Z291" s="32"/>
      <c r="AA291" s="32"/>
      <c r="AB291" s="32"/>
      <c r="AC291" s="32"/>
      <c r="AD291" s="33"/>
      <c r="AE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</row>
    <row r="292" spans="2:49" ht="12.75" hidden="1">
      <c r="B292" t="s">
        <v>1032</v>
      </c>
      <c r="C292" s="196" t="s">
        <v>1033</v>
      </c>
      <c r="D292" s="200">
        <v>0</v>
      </c>
      <c r="E292" s="287"/>
      <c r="F292" s="287"/>
      <c r="G292" s="200">
        <v>0</v>
      </c>
      <c r="H292" s="86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59">
        <f t="shared" si="16"/>
        <v>0</v>
      </c>
      <c r="U292" s="161"/>
      <c r="V292" s="162"/>
      <c r="W292" s="255"/>
      <c r="X292" s="32"/>
      <c r="Y292" s="32"/>
      <c r="Z292" s="32"/>
      <c r="AA292" s="32"/>
      <c r="AB292" s="32"/>
      <c r="AC292" s="32"/>
      <c r="AD292" s="33"/>
      <c r="AE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</row>
    <row r="293" spans="2:49" ht="12.75" hidden="1">
      <c r="B293" t="s">
        <v>1034</v>
      </c>
      <c r="C293" s="196" t="s">
        <v>1035</v>
      </c>
      <c r="D293" s="200">
        <v>0</v>
      </c>
      <c r="E293" s="287"/>
      <c r="F293" s="287"/>
      <c r="G293" s="200">
        <v>0.001</v>
      </c>
      <c r="H293" s="86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59">
        <f t="shared" si="16"/>
        <v>0</v>
      </c>
      <c r="U293" s="161"/>
      <c r="V293" s="162"/>
      <c r="W293" s="255"/>
      <c r="X293" s="32"/>
      <c r="Y293" s="32"/>
      <c r="Z293" s="32"/>
      <c r="AA293" s="32"/>
      <c r="AB293" s="32"/>
      <c r="AC293" s="32"/>
      <c r="AD293" s="33"/>
      <c r="AE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</row>
    <row r="294" spans="2:49" ht="12.75" hidden="1">
      <c r="B294" t="s">
        <v>1036</v>
      </c>
      <c r="C294" s="196" t="s">
        <v>1037</v>
      </c>
      <c r="D294" s="200">
        <v>0</v>
      </c>
      <c r="E294" s="287"/>
      <c r="F294" s="287"/>
      <c r="G294" s="200">
        <v>0.004</v>
      </c>
      <c r="H294" s="86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59">
        <f t="shared" si="16"/>
        <v>0</v>
      </c>
      <c r="U294" s="161"/>
      <c r="V294" s="162"/>
      <c r="W294" s="255"/>
      <c r="X294" s="32"/>
      <c r="Y294" s="32"/>
      <c r="Z294" s="32"/>
      <c r="AA294" s="32"/>
      <c r="AB294" s="32"/>
      <c r="AC294" s="32"/>
      <c r="AD294" s="33"/>
      <c r="AE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</row>
    <row r="295" spans="2:49" ht="12.75" hidden="1">
      <c r="B295" t="s">
        <v>1038</v>
      </c>
      <c r="C295" s="196" t="s">
        <v>1039</v>
      </c>
      <c r="D295" s="200">
        <v>0</v>
      </c>
      <c r="E295" s="287"/>
      <c r="F295" s="287"/>
      <c r="G295" s="200">
        <v>0</v>
      </c>
      <c r="H295" s="86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59">
        <f t="shared" si="16"/>
        <v>0</v>
      </c>
      <c r="U295" s="161"/>
      <c r="V295" s="162"/>
      <c r="W295" s="255"/>
      <c r="X295" s="32"/>
      <c r="Y295" s="32"/>
      <c r="Z295" s="32"/>
      <c r="AA295" s="32"/>
      <c r="AB295" s="32"/>
      <c r="AC295" s="32"/>
      <c r="AD295" s="33"/>
      <c r="AE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</row>
    <row r="296" spans="2:49" ht="12.75" hidden="1">
      <c r="B296" t="s">
        <v>1040</v>
      </c>
      <c r="C296" s="196" t="s">
        <v>1041</v>
      </c>
      <c r="D296" s="200">
        <v>0</v>
      </c>
      <c r="E296" s="287"/>
      <c r="F296" s="287"/>
      <c r="G296" s="200">
        <v>0</v>
      </c>
      <c r="H296" s="86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59">
        <f t="shared" si="16"/>
        <v>0</v>
      </c>
      <c r="U296" s="161"/>
      <c r="V296" s="162"/>
      <c r="W296" s="255"/>
      <c r="X296" s="32"/>
      <c r="Y296" s="32"/>
      <c r="Z296" s="32"/>
      <c r="AA296" s="32"/>
      <c r="AB296" s="32"/>
      <c r="AC296" s="32"/>
      <c r="AD296" s="33"/>
      <c r="AE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</row>
    <row r="297" spans="2:49" ht="12.75" hidden="1">
      <c r="B297" t="s">
        <v>1042</v>
      </c>
      <c r="C297" s="196" t="s">
        <v>1043</v>
      </c>
      <c r="D297" s="200">
        <v>0</v>
      </c>
      <c r="E297" s="287"/>
      <c r="F297" s="287"/>
      <c r="G297" s="200">
        <v>0</v>
      </c>
      <c r="H297" s="86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59">
        <f t="shared" si="16"/>
        <v>0</v>
      </c>
      <c r="U297" s="161"/>
      <c r="V297" s="162"/>
      <c r="W297" s="255"/>
      <c r="X297" s="32"/>
      <c r="Y297" s="32"/>
      <c r="Z297" s="32"/>
      <c r="AA297" s="32"/>
      <c r="AB297" s="32"/>
      <c r="AC297" s="32"/>
      <c r="AD297" s="33"/>
      <c r="AE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</row>
    <row r="298" spans="2:49" ht="12.75" hidden="1">
      <c r="B298" t="s">
        <v>1044</v>
      </c>
      <c r="C298" s="196" t="s">
        <v>1045</v>
      </c>
      <c r="D298" s="200">
        <v>0</v>
      </c>
      <c r="E298" s="287"/>
      <c r="F298" s="287"/>
      <c r="G298" s="200">
        <v>0.008</v>
      </c>
      <c r="H298" s="86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59">
        <f t="shared" si="16"/>
        <v>0</v>
      </c>
      <c r="U298" s="161"/>
      <c r="V298" s="162"/>
      <c r="W298" s="255"/>
      <c r="X298" s="32"/>
      <c r="Y298" s="32"/>
      <c r="Z298" s="32"/>
      <c r="AA298" s="32"/>
      <c r="AB298" s="32"/>
      <c r="AC298" s="32"/>
      <c r="AD298" s="33"/>
      <c r="AE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</row>
    <row r="299" spans="2:49" ht="12.75" hidden="1">
      <c r="B299" t="s">
        <v>1046</v>
      </c>
      <c r="C299" s="196" t="s">
        <v>1047</v>
      </c>
      <c r="D299" s="200">
        <v>0</v>
      </c>
      <c r="E299" s="287"/>
      <c r="F299" s="287"/>
      <c r="G299" s="200">
        <v>0</v>
      </c>
      <c r="H299" s="86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59">
        <f t="shared" si="16"/>
        <v>0</v>
      </c>
      <c r="U299" s="161"/>
      <c r="V299" s="162"/>
      <c r="W299" s="255"/>
      <c r="X299" s="32"/>
      <c r="Y299" s="32"/>
      <c r="Z299" s="32"/>
      <c r="AA299" s="32"/>
      <c r="AB299" s="32"/>
      <c r="AC299" s="32"/>
      <c r="AD299" s="33"/>
      <c r="AE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</row>
    <row r="300" spans="2:49" ht="12.75" hidden="1">
      <c r="B300" t="s">
        <v>1048</v>
      </c>
      <c r="C300" s="196" t="s">
        <v>1049</v>
      </c>
      <c r="D300" s="200">
        <v>0</v>
      </c>
      <c r="E300" s="287"/>
      <c r="F300" s="287"/>
      <c r="G300" s="200">
        <v>0</v>
      </c>
      <c r="H300" s="86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59">
        <f t="shared" si="16"/>
        <v>0</v>
      </c>
      <c r="U300" s="161"/>
      <c r="V300" s="162"/>
      <c r="W300" s="255"/>
      <c r="X300" s="32"/>
      <c r="Y300" s="32"/>
      <c r="Z300" s="32"/>
      <c r="AA300" s="32"/>
      <c r="AB300" s="32"/>
      <c r="AC300" s="32"/>
      <c r="AD300" s="33"/>
      <c r="AE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</row>
    <row r="301" spans="2:49" ht="12.75" hidden="1">
      <c r="B301"/>
      <c r="C301" s="196"/>
      <c r="D301" s="200">
        <v>0</v>
      </c>
      <c r="E301" s="287"/>
      <c r="F301" s="287"/>
      <c r="G301" s="200">
        <v>0</v>
      </c>
      <c r="H301" s="86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59">
        <f t="shared" si="16"/>
        <v>0</v>
      </c>
      <c r="U301" s="161"/>
      <c r="V301" s="162"/>
      <c r="W301" s="255"/>
      <c r="X301" s="32"/>
      <c r="Y301" s="32"/>
      <c r="Z301" s="32"/>
      <c r="AA301" s="32"/>
      <c r="AB301" s="32"/>
      <c r="AC301" s="32"/>
      <c r="AD301" s="33"/>
      <c r="AE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</row>
    <row r="302" spans="2:49" ht="12.75" hidden="1">
      <c r="B302"/>
      <c r="C302" s="196"/>
      <c r="D302" s="200">
        <v>0</v>
      </c>
      <c r="E302" s="287"/>
      <c r="F302" s="287"/>
      <c r="G302" s="200">
        <v>0</v>
      </c>
      <c r="H302" s="86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59">
        <f t="shared" si="16"/>
        <v>0</v>
      </c>
      <c r="U302" s="161"/>
      <c r="V302" s="162"/>
      <c r="W302" s="255"/>
      <c r="X302" s="32"/>
      <c r="Y302" s="32"/>
      <c r="Z302" s="32"/>
      <c r="AA302" s="32"/>
      <c r="AB302" s="32"/>
      <c r="AC302" s="32"/>
      <c r="AD302" s="33"/>
      <c r="AE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</row>
    <row r="303" spans="2:49" ht="12.75" hidden="1">
      <c r="B303"/>
      <c r="C303" s="196" t="s">
        <v>1050</v>
      </c>
      <c r="D303" s="200">
        <v>0</v>
      </c>
      <c r="E303" s="287"/>
      <c r="F303" s="287"/>
      <c r="G303" s="200">
        <v>0</v>
      </c>
      <c r="H303" s="86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59">
        <f t="shared" si="16"/>
        <v>0</v>
      </c>
      <c r="U303" s="161"/>
      <c r="V303" s="162"/>
      <c r="W303" s="255"/>
      <c r="X303" s="32"/>
      <c r="Y303" s="32"/>
      <c r="Z303" s="32"/>
      <c r="AA303" s="32"/>
      <c r="AB303" s="32"/>
      <c r="AC303" s="32"/>
      <c r="AD303" s="33"/>
      <c r="AE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</row>
    <row r="304" spans="2:49" ht="12.75" hidden="1">
      <c r="B304"/>
      <c r="C304" s="196" t="s">
        <v>1051</v>
      </c>
      <c r="D304" s="200">
        <v>0</v>
      </c>
      <c r="E304" s="287"/>
      <c r="F304" s="287"/>
      <c r="G304" s="200">
        <v>0</v>
      </c>
      <c r="H304" s="86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59">
        <f t="shared" si="16"/>
        <v>0</v>
      </c>
      <c r="U304" s="161"/>
      <c r="V304" s="162"/>
      <c r="W304" s="255"/>
      <c r="X304" s="32"/>
      <c r="Y304" s="32"/>
      <c r="Z304" s="32"/>
      <c r="AA304" s="32"/>
      <c r="AB304" s="32"/>
      <c r="AC304" s="32"/>
      <c r="AD304" s="33"/>
      <c r="AE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</row>
    <row r="305" spans="2:49" ht="12.75" hidden="1">
      <c r="B305"/>
      <c r="C305" s="196"/>
      <c r="D305" s="200">
        <v>0</v>
      </c>
      <c r="E305" s="287"/>
      <c r="F305" s="287"/>
      <c r="G305" s="200">
        <v>0</v>
      </c>
      <c r="H305" s="86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59">
        <f t="shared" si="16"/>
        <v>0</v>
      </c>
      <c r="U305" s="161"/>
      <c r="V305" s="162"/>
      <c r="W305" s="255"/>
      <c r="X305" s="32"/>
      <c r="Y305" s="32"/>
      <c r="Z305" s="32"/>
      <c r="AA305" s="32"/>
      <c r="AB305" s="32"/>
      <c r="AC305" s="32"/>
      <c r="AD305" s="33"/>
      <c r="AE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</row>
    <row r="306" spans="2:49" ht="12.75" hidden="1">
      <c r="B306" t="s">
        <v>1052</v>
      </c>
      <c r="C306" s="196" t="s">
        <v>1053</v>
      </c>
      <c r="D306" s="200">
        <v>0</v>
      </c>
      <c r="E306" s="287"/>
      <c r="F306" s="287"/>
      <c r="G306" s="200">
        <v>0</v>
      </c>
      <c r="H306" s="86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59">
        <f t="shared" si="16"/>
        <v>0</v>
      </c>
      <c r="U306" s="161"/>
      <c r="V306" s="162"/>
      <c r="W306" s="255"/>
      <c r="X306" s="32"/>
      <c r="Y306" s="32"/>
      <c r="Z306" s="32"/>
      <c r="AA306" s="32"/>
      <c r="AB306" s="32"/>
      <c r="AC306" s="32"/>
      <c r="AD306" s="33"/>
      <c r="AE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</row>
    <row r="307" spans="2:49" ht="12.75" hidden="1">
      <c r="B307" t="s">
        <v>1054</v>
      </c>
      <c r="C307" s="196" t="s">
        <v>1055</v>
      </c>
      <c r="D307" s="200">
        <v>0</v>
      </c>
      <c r="E307" s="287"/>
      <c r="F307" s="287"/>
      <c r="G307" s="200">
        <v>0</v>
      </c>
      <c r="H307" s="86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59">
        <f t="shared" si="16"/>
        <v>0</v>
      </c>
      <c r="U307" s="161"/>
      <c r="V307" s="162"/>
      <c r="W307" s="255"/>
      <c r="X307" s="32"/>
      <c r="Y307" s="32"/>
      <c r="Z307" s="32"/>
      <c r="AA307" s="32"/>
      <c r="AB307" s="32"/>
      <c r="AC307" s="32"/>
      <c r="AD307" s="33"/>
      <c r="AE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</row>
    <row r="308" spans="2:49" ht="12.75" hidden="1">
      <c r="B308" t="s">
        <v>1056</v>
      </c>
      <c r="C308" s="196" t="s">
        <v>1057</v>
      </c>
      <c r="D308" s="200">
        <v>0</v>
      </c>
      <c r="E308" s="287"/>
      <c r="F308" s="287"/>
      <c r="G308" s="200">
        <v>0</v>
      </c>
      <c r="H308" s="86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59">
        <f t="shared" si="16"/>
        <v>0</v>
      </c>
      <c r="U308" s="161"/>
      <c r="V308" s="162"/>
      <c r="W308" s="255"/>
      <c r="X308" s="32"/>
      <c r="Y308" s="32"/>
      <c r="Z308" s="32"/>
      <c r="AA308" s="32"/>
      <c r="AB308" s="32"/>
      <c r="AC308" s="32"/>
      <c r="AD308" s="33"/>
      <c r="AE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</row>
    <row r="309" spans="2:49" ht="12.75" hidden="1">
      <c r="B309" t="s">
        <v>1058</v>
      </c>
      <c r="C309" s="196" t="s">
        <v>1059</v>
      </c>
      <c r="D309" s="200">
        <v>0</v>
      </c>
      <c r="E309" s="287"/>
      <c r="F309" s="287"/>
      <c r="G309" s="200">
        <v>0.001</v>
      </c>
      <c r="H309" s="86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59">
        <f t="shared" si="16"/>
        <v>0</v>
      </c>
      <c r="U309" s="161"/>
      <c r="V309" s="162"/>
      <c r="W309" s="255"/>
      <c r="X309" s="32"/>
      <c r="Y309" s="32"/>
      <c r="Z309" s="32"/>
      <c r="AA309" s="32"/>
      <c r="AB309" s="32"/>
      <c r="AC309" s="32"/>
      <c r="AD309" s="33"/>
      <c r="AE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</row>
    <row r="310" spans="2:49" ht="12.75" hidden="1">
      <c r="B310" t="s">
        <v>1060</v>
      </c>
      <c r="C310" s="196" t="s">
        <v>1061</v>
      </c>
      <c r="D310" s="200">
        <v>0</v>
      </c>
      <c r="E310" s="287"/>
      <c r="F310" s="287"/>
      <c r="G310" s="200">
        <v>0</v>
      </c>
      <c r="H310" s="86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59">
        <f t="shared" si="16"/>
        <v>0</v>
      </c>
      <c r="U310" s="161"/>
      <c r="V310" s="162"/>
      <c r="W310" s="255"/>
      <c r="X310" s="32"/>
      <c r="Y310" s="32"/>
      <c r="Z310" s="32"/>
      <c r="AA310" s="32"/>
      <c r="AB310" s="32"/>
      <c r="AC310" s="32"/>
      <c r="AD310" s="33"/>
      <c r="AE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</row>
    <row r="311" spans="2:49" ht="12.75" hidden="1">
      <c r="B311" t="s">
        <v>1062</v>
      </c>
      <c r="C311" s="196" t="s">
        <v>1063</v>
      </c>
      <c r="D311" s="200">
        <v>0</v>
      </c>
      <c r="E311" s="287"/>
      <c r="F311" s="287"/>
      <c r="G311" s="200">
        <v>0</v>
      </c>
      <c r="H311" s="86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59">
        <f t="shared" si="16"/>
        <v>0</v>
      </c>
      <c r="U311" s="161"/>
      <c r="V311" s="162"/>
      <c r="W311" s="255"/>
      <c r="X311" s="32"/>
      <c r="Y311" s="32"/>
      <c r="Z311" s="32"/>
      <c r="AA311" s="32"/>
      <c r="AB311" s="32"/>
      <c r="AC311" s="32"/>
      <c r="AD311" s="33"/>
      <c r="AE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</row>
    <row r="312" spans="2:49" ht="12.75" hidden="1">
      <c r="B312" t="s">
        <v>1064</v>
      </c>
      <c r="C312" s="196" t="s">
        <v>1065</v>
      </c>
      <c r="D312" s="200">
        <v>0.027</v>
      </c>
      <c r="E312" s="287"/>
      <c r="F312" s="287"/>
      <c r="G312" s="200">
        <v>0</v>
      </c>
      <c r="H312" s="86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59">
        <f t="shared" si="16"/>
        <v>0.0045</v>
      </c>
      <c r="U312" s="161"/>
      <c r="V312" s="162"/>
      <c r="W312" s="255"/>
      <c r="X312" s="32"/>
      <c r="Y312" s="32"/>
      <c r="Z312" s="32"/>
      <c r="AA312" s="32"/>
      <c r="AB312" s="32"/>
      <c r="AC312" s="32"/>
      <c r="AD312" s="33"/>
      <c r="AE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</row>
    <row r="313" spans="2:49" ht="12.75" hidden="1">
      <c r="B313" t="s">
        <v>1066</v>
      </c>
      <c r="C313" s="196" t="s">
        <v>1067</v>
      </c>
      <c r="D313" s="200">
        <v>0</v>
      </c>
      <c r="E313" s="287"/>
      <c r="F313" s="287"/>
      <c r="G313" s="200">
        <v>0</v>
      </c>
      <c r="H313" s="86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59">
        <f t="shared" si="16"/>
        <v>0</v>
      </c>
      <c r="U313" s="161"/>
      <c r="V313" s="162"/>
      <c r="W313" s="255"/>
      <c r="X313" s="32"/>
      <c r="Y313" s="32"/>
      <c r="Z313" s="32"/>
      <c r="AA313" s="32"/>
      <c r="AB313" s="32"/>
      <c r="AC313" s="32"/>
      <c r="AD313" s="33"/>
      <c r="AE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</row>
    <row r="314" spans="1:49" ht="12.75">
      <c r="A314" s="29" t="s">
        <v>1167</v>
      </c>
      <c r="B314" s="189" t="s">
        <v>299</v>
      </c>
      <c r="C314" s="273" t="s">
        <v>1168</v>
      </c>
      <c r="D314" s="262">
        <f>SUM(D316:D367)</f>
        <v>0.04000000000000001</v>
      </c>
      <c r="E314" s="289"/>
      <c r="F314" s="289"/>
      <c r="G314" s="262">
        <f>SUM(G316:G367)</f>
        <v>0.007</v>
      </c>
      <c r="H314" s="86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59">
        <f t="shared" si="16"/>
        <v>0.006666666666666668</v>
      </c>
      <c r="U314" s="161"/>
      <c r="V314" s="162"/>
      <c r="W314" s="255"/>
      <c r="X314" s="32"/>
      <c r="Y314" s="32"/>
      <c r="Z314" s="32"/>
      <c r="AA314" s="32"/>
      <c r="AB314" s="32"/>
      <c r="AC314" s="32"/>
      <c r="AD314" s="33"/>
      <c r="AE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</row>
    <row r="315" spans="2:49" ht="12.75" hidden="1">
      <c r="B315" t="s">
        <v>828</v>
      </c>
      <c r="C315" s="196" t="s">
        <v>1068</v>
      </c>
      <c r="D315" s="200"/>
      <c r="E315" s="287"/>
      <c r="F315" s="287"/>
      <c r="G315" s="200"/>
      <c r="H315" s="86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59">
        <f t="shared" si="16"/>
        <v>0</v>
      </c>
      <c r="U315" s="161"/>
      <c r="V315" s="162"/>
      <c r="W315" s="255"/>
      <c r="X315" s="32"/>
      <c r="Y315" s="32"/>
      <c r="Z315" s="32"/>
      <c r="AA315" s="32"/>
      <c r="AB315" s="32"/>
      <c r="AC315" s="32"/>
      <c r="AD315" s="33"/>
      <c r="AE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</row>
    <row r="316" spans="2:49" ht="12.75" hidden="1">
      <c r="B316"/>
      <c r="C316" s="196"/>
      <c r="D316" s="200">
        <v>0</v>
      </c>
      <c r="E316" s="287"/>
      <c r="F316" s="287"/>
      <c r="G316" s="200">
        <v>0</v>
      </c>
      <c r="H316" s="86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59">
        <f t="shared" si="16"/>
        <v>0</v>
      </c>
      <c r="U316" s="161"/>
      <c r="V316" s="162"/>
      <c r="W316" s="255"/>
      <c r="X316" s="32"/>
      <c r="Y316" s="32"/>
      <c r="Z316" s="32"/>
      <c r="AA316" s="32"/>
      <c r="AB316" s="32"/>
      <c r="AC316" s="32"/>
      <c r="AD316" s="33"/>
      <c r="AE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</row>
    <row r="317" spans="2:49" ht="12.75" hidden="1">
      <c r="B317"/>
      <c r="C317" s="196" t="s">
        <v>1069</v>
      </c>
      <c r="D317" s="200">
        <v>0</v>
      </c>
      <c r="E317" s="287"/>
      <c r="F317" s="287"/>
      <c r="G317" s="200">
        <v>0</v>
      </c>
      <c r="H317" s="86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59">
        <f t="shared" si="16"/>
        <v>0</v>
      </c>
      <c r="U317" s="161"/>
      <c r="V317" s="162"/>
      <c r="W317" s="255"/>
      <c r="X317" s="32"/>
      <c r="Y317" s="32"/>
      <c r="Z317" s="32"/>
      <c r="AA317" s="32"/>
      <c r="AB317" s="32"/>
      <c r="AC317" s="32"/>
      <c r="AD317" s="33"/>
      <c r="AE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</row>
    <row r="318" spans="2:49" ht="12.75" hidden="1">
      <c r="B318" t="s">
        <v>1070</v>
      </c>
      <c r="C318" s="196" t="s">
        <v>1071</v>
      </c>
      <c r="D318" s="200">
        <v>0</v>
      </c>
      <c r="E318" s="287"/>
      <c r="F318" s="287"/>
      <c r="G318" s="200">
        <v>0</v>
      </c>
      <c r="H318" s="86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59">
        <f t="shared" si="16"/>
        <v>0</v>
      </c>
      <c r="U318" s="161"/>
      <c r="V318" s="162"/>
      <c r="W318" s="255"/>
      <c r="X318" s="32"/>
      <c r="Y318" s="32"/>
      <c r="Z318" s="32"/>
      <c r="AA318" s="32"/>
      <c r="AB318" s="32"/>
      <c r="AC318" s="32"/>
      <c r="AD318" s="33"/>
      <c r="AE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</row>
    <row r="319" spans="2:49" ht="12.75" hidden="1">
      <c r="B319" t="s">
        <v>1072</v>
      </c>
      <c r="C319" s="196" t="s">
        <v>1073</v>
      </c>
      <c r="D319" s="200">
        <v>0.003</v>
      </c>
      <c r="E319" s="287"/>
      <c r="F319" s="287"/>
      <c r="G319" s="200">
        <v>0</v>
      </c>
      <c r="H319" s="86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59">
        <f t="shared" si="16"/>
        <v>0.0005</v>
      </c>
      <c r="U319" s="161"/>
      <c r="V319" s="162"/>
      <c r="W319" s="255"/>
      <c r="X319" s="32"/>
      <c r="Y319" s="32"/>
      <c r="Z319" s="32"/>
      <c r="AA319" s="32"/>
      <c r="AB319" s="32"/>
      <c r="AC319" s="32"/>
      <c r="AD319" s="33"/>
      <c r="AE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</row>
    <row r="320" spans="2:49" ht="12.75" hidden="1">
      <c r="B320" t="s">
        <v>1074</v>
      </c>
      <c r="C320" s="196" t="s">
        <v>1075</v>
      </c>
      <c r="D320" s="200">
        <v>0</v>
      </c>
      <c r="E320" s="287"/>
      <c r="F320" s="287"/>
      <c r="G320" s="200">
        <v>0</v>
      </c>
      <c r="H320" s="86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59">
        <f t="shared" si="16"/>
        <v>0</v>
      </c>
      <c r="U320" s="161"/>
      <c r="V320" s="162"/>
      <c r="W320" s="255"/>
      <c r="X320" s="32"/>
      <c r="Y320" s="32"/>
      <c r="Z320" s="32"/>
      <c r="AA320" s="32"/>
      <c r="AB320" s="32"/>
      <c r="AC320" s="32"/>
      <c r="AD320" s="33"/>
      <c r="AE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</row>
    <row r="321" spans="2:49" ht="12.75" hidden="1">
      <c r="B321"/>
      <c r="C321" s="196" t="s">
        <v>1076</v>
      </c>
      <c r="D321" s="200">
        <v>0</v>
      </c>
      <c r="E321" s="287"/>
      <c r="F321" s="287"/>
      <c r="G321" s="200">
        <v>0</v>
      </c>
      <c r="H321" s="86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59">
        <f t="shared" si="16"/>
        <v>0</v>
      </c>
      <c r="U321" s="161"/>
      <c r="V321" s="162"/>
      <c r="W321" s="255"/>
      <c r="X321" s="32"/>
      <c r="Y321" s="32"/>
      <c r="Z321" s="32"/>
      <c r="AA321" s="32"/>
      <c r="AB321" s="32"/>
      <c r="AC321" s="32"/>
      <c r="AD321" s="33"/>
      <c r="AE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</row>
    <row r="322" spans="2:49" ht="12.75" hidden="1">
      <c r="B322" t="s">
        <v>1077</v>
      </c>
      <c r="C322" s="196" t="s">
        <v>1078</v>
      </c>
      <c r="D322" s="200">
        <v>0.001</v>
      </c>
      <c r="E322" s="287"/>
      <c r="F322" s="287"/>
      <c r="G322" s="200">
        <v>0.001</v>
      </c>
      <c r="H322" s="86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59">
        <f t="shared" si="16"/>
        <v>0.00016666666666666666</v>
      </c>
      <c r="U322" s="161"/>
      <c r="V322" s="162"/>
      <c r="W322" s="255"/>
      <c r="X322" s="32"/>
      <c r="Y322" s="32"/>
      <c r="Z322" s="32"/>
      <c r="AA322" s="32"/>
      <c r="AB322" s="32"/>
      <c r="AC322" s="32"/>
      <c r="AD322" s="33"/>
      <c r="AE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</row>
    <row r="323" spans="2:49" ht="12.75" hidden="1">
      <c r="B323" t="s">
        <v>1079</v>
      </c>
      <c r="C323" s="196" t="s">
        <v>1080</v>
      </c>
      <c r="D323" s="200">
        <v>0</v>
      </c>
      <c r="E323" s="287"/>
      <c r="F323" s="287"/>
      <c r="G323" s="200">
        <v>0</v>
      </c>
      <c r="H323" s="86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59">
        <f t="shared" si="16"/>
        <v>0</v>
      </c>
      <c r="U323" s="161"/>
      <c r="V323" s="162"/>
      <c r="W323" s="255"/>
      <c r="X323" s="32"/>
      <c r="Y323" s="32"/>
      <c r="Z323" s="32"/>
      <c r="AA323" s="32"/>
      <c r="AB323" s="32"/>
      <c r="AC323" s="32"/>
      <c r="AD323" s="33"/>
      <c r="AE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</row>
    <row r="324" spans="2:49" ht="12.75" hidden="1">
      <c r="B324" t="s">
        <v>1081</v>
      </c>
      <c r="C324" s="196" t="s">
        <v>1082</v>
      </c>
      <c r="D324" s="200">
        <v>0.013</v>
      </c>
      <c r="E324" s="287"/>
      <c r="F324" s="287"/>
      <c r="G324" s="200">
        <v>0.001</v>
      </c>
      <c r="H324" s="86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59">
        <f t="shared" si="16"/>
        <v>0.0021666666666666666</v>
      </c>
      <c r="U324" s="161"/>
      <c r="V324" s="162"/>
      <c r="W324" s="255"/>
      <c r="X324" s="32"/>
      <c r="Y324" s="32"/>
      <c r="Z324" s="32"/>
      <c r="AA324" s="32"/>
      <c r="AB324" s="32"/>
      <c r="AC324" s="32"/>
      <c r="AD324" s="33"/>
      <c r="AE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</row>
    <row r="325" spans="2:49" ht="12.75" hidden="1">
      <c r="B325" t="s">
        <v>1083</v>
      </c>
      <c r="C325" s="196" t="s">
        <v>1084</v>
      </c>
      <c r="D325" s="200">
        <v>0</v>
      </c>
      <c r="E325" s="287"/>
      <c r="F325" s="287"/>
      <c r="G325" s="200">
        <v>0</v>
      </c>
      <c r="H325" s="86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59">
        <f t="shared" si="16"/>
        <v>0</v>
      </c>
      <c r="U325" s="161"/>
      <c r="V325" s="162"/>
      <c r="W325" s="255"/>
      <c r="X325" s="32"/>
      <c r="Y325" s="32"/>
      <c r="Z325" s="32"/>
      <c r="AA325" s="32"/>
      <c r="AB325" s="32"/>
      <c r="AC325" s="32"/>
      <c r="AD325" s="33"/>
      <c r="AE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</row>
    <row r="326" spans="2:49" ht="12.75" hidden="1">
      <c r="B326" t="s">
        <v>1085</v>
      </c>
      <c r="C326" s="196" t="s">
        <v>1086</v>
      </c>
      <c r="D326" s="200">
        <v>0</v>
      </c>
      <c r="E326" s="287"/>
      <c r="F326" s="287"/>
      <c r="G326" s="200">
        <v>0</v>
      </c>
      <c r="H326" s="86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59">
        <f t="shared" si="16"/>
        <v>0</v>
      </c>
      <c r="U326" s="161"/>
      <c r="V326" s="162"/>
      <c r="W326" s="255"/>
      <c r="X326" s="32"/>
      <c r="Y326" s="32"/>
      <c r="Z326" s="32"/>
      <c r="AA326" s="32"/>
      <c r="AB326" s="32"/>
      <c r="AC326" s="32"/>
      <c r="AD326" s="33"/>
      <c r="AE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</row>
    <row r="327" spans="2:49" ht="12.75" hidden="1">
      <c r="B327"/>
      <c r="C327" s="196" t="s">
        <v>1087</v>
      </c>
      <c r="D327" s="200">
        <v>0</v>
      </c>
      <c r="E327" s="287"/>
      <c r="F327" s="287"/>
      <c r="G327" s="200">
        <v>0</v>
      </c>
      <c r="H327" s="86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59">
        <f t="shared" si="16"/>
        <v>0</v>
      </c>
      <c r="U327" s="161"/>
      <c r="V327" s="162"/>
      <c r="W327" s="255"/>
      <c r="X327" s="32"/>
      <c r="Y327" s="32"/>
      <c r="Z327" s="32"/>
      <c r="AA327" s="32"/>
      <c r="AB327" s="32"/>
      <c r="AC327" s="32"/>
      <c r="AD327" s="33"/>
      <c r="AE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</row>
    <row r="328" spans="2:49" ht="12.75" hidden="1">
      <c r="B328" t="s">
        <v>1088</v>
      </c>
      <c r="C328" s="196" t="s">
        <v>1089</v>
      </c>
      <c r="D328" s="200">
        <v>0</v>
      </c>
      <c r="E328" s="287"/>
      <c r="F328" s="287"/>
      <c r="G328" s="200">
        <v>0</v>
      </c>
      <c r="H328" s="86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59">
        <f t="shared" si="16"/>
        <v>0</v>
      </c>
      <c r="U328" s="161"/>
      <c r="V328" s="162"/>
      <c r="W328" s="255"/>
      <c r="X328" s="32"/>
      <c r="Y328" s="32"/>
      <c r="Z328" s="32"/>
      <c r="AA328" s="32"/>
      <c r="AB328" s="32"/>
      <c r="AC328" s="32"/>
      <c r="AD328" s="33"/>
      <c r="AE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</row>
    <row r="329" spans="2:49" ht="12.75" hidden="1">
      <c r="B329" t="s">
        <v>1090</v>
      </c>
      <c r="C329" s="196" t="s">
        <v>1091</v>
      </c>
      <c r="D329" s="200">
        <v>0.001</v>
      </c>
      <c r="E329" s="287"/>
      <c r="F329" s="287"/>
      <c r="G329" s="200">
        <v>0</v>
      </c>
      <c r="H329" s="86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59">
        <f t="shared" si="16"/>
        <v>0.00016666666666666666</v>
      </c>
      <c r="U329" s="161"/>
      <c r="V329" s="162"/>
      <c r="W329" s="255"/>
      <c r="X329" s="32"/>
      <c r="Y329" s="32"/>
      <c r="Z329" s="32"/>
      <c r="AA329" s="32"/>
      <c r="AB329" s="32"/>
      <c r="AC329" s="32"/>
      <c r="AD329" s="33"/>
      <c r="AE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</row>
    <row r="330" spans="2:49" ht="12.75" hidden="1">
      <c r="B330" t="s">
        <v>1092</v>
      </c>
      <c r="C330" s="196" t="s">
        <v>1093</v>
      </c>
      <c r="D330" s="200">
        <v>0</v>
      </c>
      <c r="E330" s="287"/>
      <c r="F330" s="287"/>
      <c r="G330" s="200">
        <v>0</v>
      </c>
      <c r="H330" s="86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59">
        <f t="shared" si="16"/>
        <v>0</v>
      </c>
      <c r="U330" s="161"/>
      <c r="V330" s="162"/>
      <c r="W330" s="255"/>
      <c r="X330" s="32"/>
      <c r="Y330" s="32"/>
      <c r="Z330" s="32"/>
      <c r="AA330" s="32"/>
      <c r="AB330" s="32"/>
      <c r="AC330" s="32"/>
      <c r="AD330" s="33"/>
      <c r="AE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</row>
    <row r="331" spans="2:49" ht="12.75" hidden="1">
      <c r="B331" t="s">
        <v>1094</v>
      </c>
      <c r="C331" s="196" t="s">
        <v>1095</v>
      </c>
      <c r="D331" s="200">
        <v>0.002</v>
      </c>
      <c r="E331" s="287"/>
      <c r="F331" s="287"/>
      <c r="G331" s="200">
        <v>0</v>
      </c>
      <c r="H331" s="86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59">
        <f t="shared" si="16"/>
        <v>0.0003333333333333333</v>
      </c>
      <c r="U331" s="161"/>
      <c r="V331" s="162"/>
      <c r="W331" s="255"/>
      <c r="X331" s="32"/>
      <c r="Y331" s="32"/>
      <c r="Z331" s="32"/>
      <c r="AA331" s="32"/>
      <c r="AB331" s="32"/>
      <c r="AC331" s="32"/>
      <c r="AD331" s="33"/>
      <c r="AE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</row>
    <row r="332" spans="2:49" ht="12.75" hidden="1">
      <c r="B332" t="s">
        <v>1096</v>
      </c>
      <c r="C332" s="196" t="s">
        <v>1097</v>
      </c>
      <c r="D332" s="200">
        <v>0</v>
      </c>
      <c r="E332" s="287"/>
      <c r="F332" s="287"/>
      <c r="G332" s="200">
        <v>0</v>
      </c>
      <c r="H332" s="86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59">
        <f t="shared" si="16"/>
        <v>0</v>
      </c>
      <c r="U332" s="161"/>
      <c r="V332" s="162"/>
      <c r="W332" s="255"/>
      <c r="X332" s="32"/>
      <c r="Y332" s="32"/>
      <c r="Z332" s="32"/>
      <c r="AA332" s="32"/>
      <c r="AB332" s="32"/>
      <c r="AC332" s="32"/>
      <c r="AD332" s="33"/>
      <c r="AE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</row>
    <row r="333" spans="2:49" ht="12.75" hidden="1">
      <c r="B333"/>
      <c r="C333" s="196" t="s">
        <v>1098</v>
      </c>
      <c r="D333" s="200">
        <v>0</v>
      </c>
      <c r="E333" s="287"/>
      <c r="F333" s="287"/>
      <c r="G333" s="200">
        <v>0</v>
      </c>
      <c r="H333" s="86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59">
        <f t="shared" si="16"/>
        <v>0</v>
      </c>
      <c r="U333" s="161"/>
      <c r="V333" s="162"/>
      <c r="W333" s="255"/>
      <c r="X333" s="32"/>
      <c r="Y333" s="32"/>
      <c r="Z333" s="32"/>
      <c r="AA333" s="32"/>
      <c r="AB333" s="32"/>
      <c r="AC333" s="32"/>
      <c r="AD333" s="33"/>
      <c r="AE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</row>
    <row r="334" spans="2:49" ht="12.75" hidden="1">
      <c r="B334" t="s">
        <v>1099</v>
      </c>
      <c r="C334" s="196" t="s">
        <v>1100</v>
      </c>
      <c r="D334" s="200">
        <v>0</v>
      </c>
      <c r="E334" s="287"/>
      <c r="F334" s="287"/>
      <c r="G334" s="200">
        <v>0</v>
      </c>
      <c r="H334" s="86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59">
        <f t="shared" si="16"/>
        <v>0</v>
      </c>
      <c r="U334" s="161"/>
      <c r="V334" s="162"/>
      <c r="W334" s="255"/>
      <c r="X334" s="32"/>
      <c r="Y334" s="32"/>
      <c r="Z334" s="32"/>
      <c r="AA334" s="32"/>
      <c r="AB334" s="32"/>
      <c r="AC334" s="32"/>
      <c r="AD334" s="33"/>
      <c r="AE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</row>
    <row r="335" spans="2:49" ht="12.75" hidden="1">
      <c r="B335" t="s">
        <v>1101</v>
      </c>
      <c r="C335" s="196" t="s">
        <v>1102</v>
      </c>
      <c r="D335" s="200">
        <v>0</v>
      </c>
      <c r="E335" s="287"/>
      <c r="F335" s="287"/>
      <c r="G335" s="200">
        <v>0</v>
      </c>
      <c r="H335" s="86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59">
        <f t="shared" si="16"/>
        <v>0</v>
      </c>
      <c r="U335" s="161"/>
      <c r="V335" s="162"/>
      <c r="W335" s="255"/>
      <c r="X335" s="32"/>
      <c r="Y335" s="32"/>
      <c r="Z335" s="32"/>
      <c r="AA335" s="32"/>
      <c r="AB335" s="32"/>
      <c r="AC335" s="32"/>
      <c r="AD335" s="33"/>
      <c r="AE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</row>
    <row r="336" spans="2:49" ht="12.75" hidden="1">
      <c r="B336" t="s">
        <v>1103</v>
      </c>
      <c r="C336" s="196" t="s">
        <v>1104</v>
      </c>
      <c r="D336" s="200">
        <v>0</v>
      </c>
      <c r="E336" s="287"/>
      <c r="F336" s="287"/>
      <c r="G336" s="200">
        <v>0</v>
      </c>
      <c r="H336" s="86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59">
        <f t="shared" si="16"/>
        <v>0</v>
      </c>
      <c r="U336" s="161"/>
      <c r="V336" s="162"/>
      <c r="W336" s="255"/>
      <c r="X336" s="32"/>
      <c r="Y336" s="32"/>
      <c r="Z336" s="32"/>
      <c r="AA336" s="32"/>
      <c r="AB336" s="32"/>
      <c r="AC336" s="32"/>
      <c r="AD336" s="33"/>
      <c r="AE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</row>
    <row r="337" spans="2:49" ht="12.75" hidden="1">
      <c r="B337" t="s">
        <v>1105</v>
      </c>
      <c r="C337" s="196" t="s">
        <v>1106</v>
      </c>
      <c r="D337" s="200">
        <v>0</v>
      </c>
      <c r="E337" s="287"/>
      <c r="F337" s="287"/>
      <c r="G337" s="200">
        <v>0</v>
      </c>
      <c r="H337" s="86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59">
        <f t="shared" si="16"/>
        <v>0</v>
      </c>
      <c r="U337" s="161"/>
      <c r="V337" s="162"/>
      <c r="W337" s="255"/>
      <c r="X337" s="32"/>
      <c r="Y337" s="32"/>
      <c r="Z337" s="32"/>
      <c r="AA337" s="32"/>
      <c r="AB337" s="32"/>
      <c r="AC337" s="32"/>
      <c r="AD337" s="33"/>
      <c r="AE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</row>
    <row r="338" spans="2:49" ht="12.75" hidden="1">
      <c r="B338" t="s">
        <v>1107</v>
      </c>
      <c r="C338" s="196" t="s">
        <v>1108</v>
      </c>
      <c r="D338" s="200">
        <v>0</v>
      </c>
      <c r="E338" s="287"/>
      <c r="F338" s="287"/>
      <c r="G338" s="200">
        <v>0</v>
      </c>
      <c r="H338" s="86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59">
        <f t="shared" si="16"/>
        <v>0</v>
      </c>
      <c r="U338" s="161"/>
      <c r="V338" s="162"/>
      <c r="W338" s="255"/>
      <c r="X338" s="32"/>
      <c r="Y338" s="32"/>
      <c r="Z338" s="32"/>
      <c r="AA338" s="32"/>
      <c r="AB338" s="32"/>
      <c r="AC338" s="32"/>
      <c r="AD338" s="33"/>
      <c r="AE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</row>
    <row r="339" spans="2:49" ht="12.75" hidden="1">
      <c r="B339" t="s">
        <v>1109</v>
      </c>
      <c r="C339" s="196" t="s">
        <v>1110</v>
      </c>
      <c r="D339" s="200">
        <v>0.003</v>
      </c>
      <c r="E339" s="287"/>
      <c r="F339" s="287"/>
      <c r="G339" s="200">
        <v>0</v>
      </c>
      <c r="H339" s="86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59">
        <f t="shared" si="16"/>
        <v>0.0005</v>
      </c>
      <c r="U339" s="161"/>
      <c r="V339" s="162"/>
      <c r="W339" s="255"/>
      <c r="X339" s="32"/>
      <c r="Y339" s="32"/>
      <c r="Z339" s="32"/>
      <c r="AA339" s="32"/>
      <c r="AB339" s="32"/>
      <c r="AC339" s="32"/>
      <c r="AD339" s="33"/>
      <c r="AE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</row>
    <row r="340" spans="2:49" ht="12.75" hidden="1">
      <c r="B340" t="s">
        <v>1111</v>
      </c>
      <c r="C340" s="196" t="s">
        <v>1112</v>
      </c>
      <c r="D340" s="200">
        <v>0</v>
      </c>
      <c r="E340" s="287"/>
      <c r="F340" s="287"/>
      <c r="G340" s="200">
        <v>0.004</v>
      </c>
      <c r="H340" s="86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59">
        <f t="shared" si="16"/>
        <v>0</v>
      </c>
      <c r="U340" s="161"/>
      <c r="V340" s="162"/>
      <c r="W340" s="255"/>
      <c r="X340" s="32"/>
      <c r="Y340" s="32"/>
      <c r="Z340" s="32"/>
      <c r="AA340" s="32"/>
      <c r="AB340" s="32"/>
      <c r="AC340" s="32"/>
      <c r="AD340" s="33"/>
      <c r="AE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</row>
    <row r="341" spans="2:49" ht="12.75" hidden="1">
      <c r="B341" t="s">
        <v>1113</v>
      </c>
      <c r="C341" s="196" t="s">
        <v>1114</v>
      </c>
      <c r="D341" s="200">
        <v>0</v>
      </c>
      <c r="E341" s="287"/>
      <c r="F341" s="287"/>
      <c r="G341" s="200">
        <v>0</v>
      </c>
      <c r="H341" s="86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59">
        <f aca="true" t="shared" si="17" ref="T341:T368">D341/12*2</f>
        <v>0</v>
      </c>
      <c r="U341" s="161"/>
      <c r="V341" s="162"/>
      <c r="W341" s="255"/>
      <c r="X341" s="32"/>
      <c r="Y341" s="32"/>
      <c r="Z341" s="32"/>
      <c r="AA341" s="32"/>
      <c r="AB341" s="32"/>
      <c r="AC341" s="32"/>
      <c r="AD341" s="33"/>
      <c r="AE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</row>
    <row r="342" spans="2:49" ht="12.75" hidden="1">
      <c r="B342" t="s">
        <v>1115</v>
      </c>
      <c r="C342" s="196" t="s">
        <v>1116</v>
      </c>
      <c r="D342" s="200">
        <v>0</v>
      </c>
      <c r="E342" s="287"/>
      <c r="F342" s="287"/>
      <c r="G342" s="200">
        <v>0</v>
      </c>
      <c r="H342" s="86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59">
        <f t="shared" si="17"/>
        <v>0</v>
      </c>
      <c r="U342" s="161"/>
      <c r="V342" s="162"/>
      <c r="W342" s="255"/>
      <c r="X342" s="32"/>
      <c r="Y342" s="32"/>
      <c r="Z342" s="32"/>
      <c r="AA342" s="32"/>
      <c r="AB342" s="32"/>
      <c r="AC342" s="32"/>
      <c r="AD342" s="33"/>
      <c r="AE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</row>
    <row r="343" spans="2:49" ht="12.75" hidden="1">
      <c r="B343" t="s">
        <v>1117</v>
      </c>
      <c r="C343" s="196" t="s">
        <v>1118</v>
      </c>
      <c r="D343" s="200">
        <v>0</v>
      </c>
      <c r="E343" s="287"/>
      <c r="F343" s="287"/>
      <c r="G343" s="200">
        <v>0</v>
      </c>
      <c r="H343" s="86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59">
        <f t="shared" si="17"/>
        <v>0</v>
      </c>
      <c r="U343" s="161"/>
      <c r="V343" s="162"/>
      <c r="W343" s="255"/>
      <c r="X343" s="32"/>
      <c r="Y343" s="32"/>
      <c r="Z343" s="32"/>
      <c r="AA343" s="32"/>
      <c r="AB343" s="32"/>
      <c r="AC343" s="32"/>
      <c r="AD343" s="33"/>
      <c r="AE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</row>
    <row r="344" spans="2:49" ht="12.75" hidden="1">
      <c r="B344" t="s">
        <v>1119</v>
      </c>
      <c r="C344" s="196" t="s">
        <v>1120</v>
      </c>
      <c r="D344" s="200">
        <v>0</v>
      </c>
      <c r="E344" s="287"/>
      <c r="F344" s="287"/>
      <c r="G344" s="200">
        <v>0.001</v>
      </c>
      <c r="H344" s="86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59">
        <f t="shared" si="17"/>
        <v>0</v>
      </c>
      <c r="U344" s="161"/>
      <c r="V344" s="162"/>
      <c r="W344" s="255"/>
      <c r="X344" s="32"/>
      <c r="Y344" s="32"/>
      <c r="Z344" s="32"/>
      <c r="AA344" s="32"/>
      <c r="AB344" s="32"/>
      <c r="AC344" s="32"/>
      <c r="AD344" s="33"/>
      <c r="AE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</row>
    <row r="345" spans="2:49" ht="12.75" hidden="1">
      <c r="B345"/>
      <c r="C345" s="196"/>
      <c r="D345" s="200">
        <v>0</v>
      </c>
      <c r="E345" s="287"/>
      <c r="F345" s="287"/>
      <c r="G345" s="200">
        <v>0</v>
      </c>
      <c r="H345" s="86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59">
        <f t="shared" si="17"/>
        <v>0</v>
      </c>
      <c r="U345" s="161"/>
      <c r="V345" s="162"/>
      <c r="W345" s="255"/>
      <c r="X345" s="32"/>
      <c r="Y345" s="32"/>
      <c r="Z345" s="32"/>
      <c r="AA345" s="32"/>
      <c r="AB345" s="32"/>
      <c r="AC345" s="32"/>
      <c r="AD345" s="33"/>
      <c r="AE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</row>
    <row r="346" spans="2:49" ht="12.75" hidden="1">
      <c r="B346"/>
      <c r="C346" s="196" t="s">
        <v>1121</v>
      </c>
      <c r="D346" s="200">
        <v>0</v>
      </c>
      <c r="E346" s="287"/>
      <c r="F346" s="287"/>
      <c r="G346" s="200">
        <v>0</v>
      </c>
      <c r="H346" s="86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59">
        <f t="shared" si="17"/>
        <v>0</v>
      </c>
      <c r="U346" s="161"/>
      <c r="V346" s="162"/>
      <c r="W346" s="255"/>
      <c r="X346" s="32"/>
      <c r="Y346" s="32"/>
      <c r="Z346" s="32"/>
      <c r="AA346" s="32"/>
      <c r="AB346" s="32"/>
      <c r="AC346" s="32"/>
      <c r="AD346" s="33"/>
      <c r="AE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</row>
    <row r="347" spans="2:49" ht="12.75" hidden="1">
      <c r="B347" t="s">
        <v>1122</v>
      </c>
      <c r="C347" s="196" t="s">
        <v>1123</v>
      </c>
      <c r="D347" s="200">
        <v>0</v>
      </c>
      <c r="E347" s="287"/>
      <c r="F347" s="287"/>
      <c r="G347" s="200">
        <v>0</v>
      </c>
      <c r="H347" s="86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59">
        <f t="shared" si="17"/>
        <v>0</v>
      </c>
      <c r="U347" s="161"/>
      <c r="V347" s="162"/>
      <c r="W347" s="255"/>
      <c r="X347" s="32"/>
      <c r="Y347" s="32"/>
      <c r="Z347" s="32"/>
      <c r="AA347" s="32"/>
      <c r="AB347" s="32"/>
      <c r="AC347" s="32"/>
      <c r="AD347" s="33"/>
      <c r="AE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</row>
    <row r="348" spans="2:49" ht="12.75" hidden="1">
      <c r="B348" t="s">
        <v>1124</v>
      </c>
      <c r="C348" s="196" t="s">
        <v>1125</v>
      </c>
      <c r="D348" s="200">
        <v>0</v>
      </c>
      <c r="E348" s="287"/>
      <c r="F348" s="287"/>
      <c r="G348" s="200">
        <v>0</v>
      </c>
      <c r="H348" s="86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59">
        <f t="shared" si="17"/>
        <v>0</v>
      </c>
      <c r="U348" s="161"/>
      <c r="V348" s="162"/>
      <c r="W348" s="255"/>
      <c r="X348" s="32"/>
      <c r="Y348" s="32"/>
      <c r="Z348" s="32"/>
      <c r="AA348" s="32"/>
      <c r="AB348" s="32"/>
      <c r="AC348" s="32"/>
      <c r="AD348" s="33"/>
      <c r="AE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</row>
    <row r="349" spans="2:49" ht="12.75" hidden="1">
      <c r="B349" t="s">
        <v>1126</v>
      </c>
      <c r="C349" s="196" t="s">
        <v>1127</v>
      </c>
      <c r="D349" s="200">
        <v>0</v>
      </c>
      <c r="E349" s="287"/>
      <c r="F349" s="287"/>
      <c r="G349" s="200">
        <v>0</v>
      </c>
      <c r="H349" s="86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59">
        <f t="shared" si="17"/>
        <v>0</v>
      </c>
      <c r="U349" s="161">
        <f aca="true" t="shared" si="18" ref="U349:U363">IF(SUM(H349:S349)-D223=0,"","adjust profile")</f>
      </c>
      <c r="V349" s="162"/>
      <c r="W349" s="255"/>
      <c r="X349" s="32"/>
      <c r="Y349" s="32"/>
      <c r="Z349" s="32"/>
      <c r="AA349" s="32"/>
      <c r="AB349" s="32"/>
      <c r="AC349" s="32"/>
      <c r="AD349" s="33"/>
      <c r="AE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</row>
    <row r="350" spans="2:49" ht="12.75" hidden="1">
      <c r="B350" t="s">
        <v>1128</v>
      </c>
      <c r="C350" s="196" t="s">
        <v>1129</v>
      </c>
      <c r="D350" s="200">
        <v>0</v>
      </c>
      <c r="E350" s="287"/>
      <c r="F350" s="287"/>
      <c r="G350" s="200">
        <v>0</v>
      </c>
      <c r="H350" s="86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59">
        <f t="shared" si="17"/>
        <v>0</v>
      </c>
      <c r="U350" s="161">
        <f t="shared" si="18"/>
      </c>
      <c r="V350" s="162"/>
      <c r="W350" s="255"/>
      <c r="X350" s="32"/>
      <c r="Y350" s="32"/>
      <c r="Z350" s="32"/>
      <c r="AA350" s="32"/>
      <c r="AB350" s="32"/>
      <c r="AC350" s="32"/>
      <c r="AD350" s="33"/>
      <c r="AE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</row>
    <row r="351" spans="2:49" ht="12.75" hidden="1">
      <c r="B351" t="s">
        <v>1130</v>
      </c>
      <c r="C351" s="196" t="s">
        <v>1131</v>
      </c>
      <c r="D351" s="200">
        <v>0</v>
      </c>
      <c r="E351" s="287"/>
      <c r="F351" s="287"/>
      <c r="G351" s="200">
        <v>0</v>
      </c>
      <c r="H351" s="86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59">
        <f t="shared" si="17"/>
        <v>0</v>
      </c>
      <c r="U351" s="161">
        <f t="shared" si="18"/>
      </c>
      <c r="V351" s="162"/>
      <c r="W351" s="255"/>
      <c r="X351" s="32"/>
      <c r="Y351" s="32"/>
      <c r="Z351" s="32"/>
      <c r="AA351" s="32"/>
      <c r="AB351" s="32"/>
      <c r="AC351" s="32"/>
      <c r="AD351" s="33"/>
      <c r="AE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</row>
    <row r="352" spans="2:49" ht="12.75" hidden="1">
      <c r="B352" t="s">
        <v>1132</v>
      </c>
      <c r="C352" s="196" t="s">
        <v>1133</v>
      </c>
      <c r="D352" s="200">
        <v>0</v>
      </c>
      <c r="E352" s="287"/>
      <c r="F352" s="287"/>
      <c r="G352" s="200">
        <v>0</v>
      </c>
      <c r="H352" s="86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59">
        <f t="shared" si="17"/>
        <v>0</v>
      </c>
      <c r="U352" s="161">
        <f t="shared" si="18"/>
      </c>
      <c r="V352" s="162"/>
      <c r="W352" s="255"/>
      <c r="X352" s="32"/>
      <c r="Y352" s="32"/>
      <c r="Z352" s="32"/>
      <c r="AA352" s="32"/>
      <c r="AB352" s="32"/>
      <c r="AC352" s="32"/>
      <c r="AD352" s="33"/>
      <c r="AE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</row>
    <row r="353" spans="2:49" ht="12.75" hidden="1">
      <c r="B353"/>
      <c r="C353" s="196" t="s">
        <v>1134</v>
      </c>
      <c r="D353" s="200">
        <v>0</v>
      </c>
      <c r="E353" s="287"/>
      <c r="F353" s="287"/>
      <c r="G353" s="200">
        <v>0</v>
      </c>
      <c r="H353" s="86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59">
        <f t="shared" si="17"/>
        <v>0</v>
      </c>
      <c r="U353" s="161">
        <f t="shared" si="18"/>
      </c>
      <c r="V353" s="162"/>
      <c r="W353" s="255"/>
      <c r="X353" s="32"/>
      <c r="Y353" s="32"/>
      <c r="Z353" s="32"/>
      <c r="AA353" s="32"/>
      <c r="AB353" s="32"/>
      <c r="AC353" s="32"/>
      <c r="AD353" s="33"/>
      <c r="AE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</row>
    <row r="354" spans="2:49" ht="12.75" hidden="1">
      <c r="B354" t="s">
        <v>1135</v>
      </c>
      <c r="C354" s="196" t="s">
        <v>1136</v>
      </c>
      <c r="D354" s="200">
        <v>0.001</v>
      </c>
      <c r="E354" s="287"/>
      <c r="F354" s="287"/>
      <c r="G354" s="200">
        <v>0</v>
      </c>
      <c r="H354" s="86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59">
        <f t="shared" si="17"/>
        <v>0.00016666666666666666</v>
      </c>
      <c r="U354" s="161">
        <f t="shared" si="18"/>
      </c>
      <c r="V354" s="162"/>
      <c r="W354" s="255"/>
      <c r="X354" s="32"/>
      <c r="Y354" s="32"/>
      <c r="Z354" s="32"/>
      <c r="AA354" s="32"/>
      <c r="AB354" s="32"/>
      <c r="AC354" s="32"/>
      <c r="AD354" s="33"/>
      <c r="AE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</row>
    <row r="355" spans="2:49" ht="12.75" hidden="1">
      <c r="B355" t="s">
        <v>1137</v>
      </c>
      <c r="C355" s="196" t="s">
        <v>1138</v>
      </c>
      <c r="D355" s="200">
        <v>0</v>
      </c>
      <c r="E355" s="287"/>
      <c r="F355" s="287"/>
      <c r="G355" s="200">
        <v>0</v>
      </c>
      <c r="H355" s="86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59">
        <f t="shared" si="17"/>
        <v>0</v>
      </c>
      <c r="U355" s="161" t="str">
        <f t="shared" si="18"/>
        <v>adjust profile</v>
      </c>
      <c r="V355" s="162"/>
      <c r="W355" s="255"/>
      <c r="X355" s="32"/>
      <c r="Y355" s="32"/>
      <c r="Z355" s="32"/>
      <c r="AA355" s="32"/>
      <c r="AB355" s="32"/>
      <c r="AC355" s="32"/>
      <c r="AD355" s="33"/>
      <c r="AE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</row>
    <row r="356" spans="2:49" ht="12.75" hidden="1">
      <c r="B356" t="s">
        <v>1139</v>
      </c>
      <c r="C356" s="196" t="s">
        <v>1140</v>
      </c>
      <c r="D356" s="200">
        <v>0.001</v>
      </c>
      <c r="E356" s="287"/>
      <c r="F356" s="287"/>
      <c r="G356" s="200">
        <v>0</v>
      </c>
      <c r="H356" s="86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59">
        <f t="shared" si="17"/>
        <v>0.00016666666666666666</v>
      </c>
      <c r="U356" s="161">
        <f t="shared" si="18"/>
      </c>
      <c r="V356" s="162"/>
      <c r="W356" s="255"/>
      <c r="X356" s="32"/>
      <c r="Y356" s="32"/>
      <c r="Z356" s="32"/>
      <c r="AA356" s="32"/>
      <c r="AB356" s="32"/>
      <c r="AC356" s="32"/>
      <c r="AD356" s="33"/>
      <c r="AE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</row>
    <row r="357" spans="2:49" ht="12.75" hidden="1">
      <c r="B357" t="s">
        <v>1141</v>
      </c>
      <c r="C357" s="196" t="s">
        <v>1142</v>
      </c>
      <c r="D357" s="200">
        <v>0.004</v>
      </c>
      <c r="E357" s="287"/>
      <c r="F357" s="287"/>
      <c r="G357" s="200">
        <v>0</v>
      </c>
      <c r="H357" s="86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59">
        <f t="shared" si="17"/>
        <v>0.0006666666666666666</v>
      </c>
      <c r="U357" s="161">
        <f t="shared" si="18"/>
      </c>
      <c r="V357" s="162"/>
      <c r="W357" s="255"/>
      <c r="X357" s="32"/>
      <c r="Y357" s="32"/>
      <c r="Z357" s="32"/>
      <c r="AA357" s="32"/>
      <c r="AB357" s="32"/>
      <c r="AC357" s="32"/>
      <c r="AD357" s="33"/>
      <c r="AE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</row>
    <row r="358" spans="2:49" ht="12.75" hidden="1">
      <c r="B358" t="s">
        <v>1143</v>
      </c>
      <c r="C358" s="196" t="s">
        <v>1144</v>
      </c>
      <c r="D358" s="200">
        <v>0</v>
      </c>
      <c r="E358" s="287"/>
      <c r="F358" s="287"/>
      <c r="G358" s="200">
        <v>0</v>
      </c>
      <c r="H358" s="86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59">
        <f t="shared" si="17"/>
        <v>0</v>
      </c>
      <c r="U358" s="161">
        <f t="shared" si="18"/>
      </c>
      <c r="V358" s="162"/>
      <c r="W358" s="255"/>
      <c r="X358" s="32"/>
      <c r="Y358" s="32"/>
      <c r="Z358" s="32"/>
      <c r="AA358" s="32"/>
      <c r="AB358" s="32"/>
      <c r="AC358" s="32"/>
      <c r="AD358" s="33"/>
      <c r="AE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</row>
    <row r="359" spans="2:49" ht="12.75" hidden="1">
      <c r="B359"/>
      <c r="C359" s="196"/>
      <c r="D359" s="200">
        <v>0</v>
      </c>
      <c r="E359" s="287"/>
      <c r="F359" s="287"/>
      <c r="G359" s="200">
        <v>0</v>
      </c>
      <c r="H359" s="86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59">
        <f t="shared" si="17"/>
        <v>0</v>
      </c>
      <c r="U359" s="161">
        <f t="shared" si="18"/>
      </c>
      <c r="V359" s="162"/>
      <c r="W359" s="255"/>
      <c r="X359" s="32"/>
      <c r="Y359" s="32"/>
      <c r="Z359" s="32"/>
      <c r="AA359" s="32"/>
      <c r="AB359" s="32"/>
      <c r="AC359" s="32"/>
      <c r="AD359" s="33"/>
      <c r="AE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</row>
    <row r="360" spans="2:49" ht="12.75" hidden="1">
      <c r="B360"/>
      <c r="C360" s="196" t="s">
        <v>1145</v>
      </c>
      <c r="D360" s="200">
        <v>0</v>
      </c>
      <c r="E360" s="287"/>
      <c r="F360" s="287"/>
      <c r="G360" s="200">
        <v>0</v>
      </c>
      <c r="H360" s="86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59">
        <f t="shared" si="17"/>
        <v>0</v>
      </c>
      <c r="U360" s="161" t="str">
        <f t="shared" si="18"/>
        <v>adjust profile</v>
      </c>
      <c r="V360" s="162"/>
      <c r="W360" s="255"/>
      <c r="X360" s="32"/>
      <c r="Y360" s="32"/>
      <c r="Z360" s="32"/>
      <c r="AA360" s="32"/>
      <c r="AB360" s="32"/>
      <c r="AC360" s="32"/>
      <c r="AD360" s="33"/>
      <c r="AE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</row>
    <row r="361" spans="2:49" ht="12.75" hidden="1">
      <c r="B361" t="s">
        <v>1146</v>
      </c>
      <c r="C361" s="196" t="s">
        <v>1147</v>
      </c>
      <c r="D361" s="200">
        <v>0</v>
      </c>
      <c r="E361" s="287"/>
      <c r="F361" s="287"/>
      <c r="G361" s="200">
        <v>0</v>
      </c>
      <c r="H361" s="86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59">
        <f t="shared" si="17"/>
        <v>0</v>
      </c>
      <c r="U361" s="161">
        <f t="shared" si="18"/>
      </c>
      <c r="V361" s="162"/>
      <c r="W361" s="255"/>
      <c r="X361" s="32"/>
      <c r="Y361" s="32"/>
      <c r="Z361" s="32"/>
      <c r="AA361" s="32"/>
      <c r="AB361" s="32"/>
      <c r="AC361" s="32"/>
      <c r="AD361" s="33"/>
      <c r="AE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</row>
    <row r="362" spans="2:49" ht="12.75" hidden="1">
      <c r="B362"/>
      <c r="C362" s="196"/>
      <c r="D362" s="200">
        <v>0</v>
      </c>
      <c r="E362" s="287"/>
      <c r="F362" s="287"/>
      <c r="G362" s="200">
        <v>0</v>
      </c>
      <c r="H362" s="86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59">
        <f t="shared" si="17"/>
        <v>0</v>
      </c>
      <c r="U362" s="161">
        <f t="shared" si="18"/>
      </c>
      <c r="V362" s="162"/>
      <c r="W362" s="255"/>
      <c r="X362" s="32"/>
      <c r="Y362" s="32"/>
      <c r="Z362" s="32"/>
      <c r="AA362" s="32"/>
      <c r="AB362" s="32"/>
      <c r="AC362" s="32"/>
      <c r="AD362" s="33"/>
      <c r="AE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</row>
    <row r="363" spans="2:49" ht="12.75" hidden="1">
      <c r="B363" t="s">
        <v>1148</v>
      </c>
      <c r="C363" s="196" t="s">
        <v>1149</v>
      </c>
      <c r="D363" s="200">
        <v>0.011</v>
      </c>
      <c r="E363" s="287"/>
      <c r="F363" s="287"/>
      <c r="G363" s="200">
        <v>0</v>
      </c>
      <c r="H363" s="86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59">
        <f t="shared" si="17"/>
        <v>0.0018333333333333333</v>
      </c>
      <c r="U363" s="161" t="str">
        <f t="shared" si="18"/>
        <v>adjust profile</v>
      </c>
      <c r="V363" s="162"/>
      <c r="W363" s="255"/>
      <c r="X363" s="32"/>
      <c r="Y363" s="32"/>
      <c r="Z363" s="32"/>
      <c r="AA363" s="32"/>
      <c r="AB363" s="32"/>
      <c r="AC363" s="32"/>
      <c r="AD363" s="33"/>
      <c r="AE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</row>
    <row r="364" spans="2:49" ht="12.75" hidden="1">
      <c r="B364" t="s">
        <v>1150</v>
      </c>
      <c r="C364" s="196" t="s">
        <v>1151</v>
      </c>
      <c r="D364" s="200">
        <v>0</v>
      </c>
      <c r="E364" s="287"/>
      <c r="F364" s="287"/>
      <c r="G364" s="200">
        <v>0</v>
      </c>
      <c r="H364" s="86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59">
        <f t="shared" si="17"/>
        <v>0</v>
      </c>
      <c r="U364" s="161" t="e">
        <f>IF(SUM(H364:S364)-#REF!=0,"","adjust profile")</f>
        <v>#REF!</v>
      </c>
      <c r="V364" s="162"/>
      <c r="W364" s="255"/>
      <c r="X364" s="32"/>
      <c r="Y364" s="32"/>
      <c r="Z364" s="32"/>
      <c r="AA364" s="32"/>
      <c r="AB364" s="32"/>
      <c r="AC364" s="32"/>
      <c r="AD364" s="33"/>
      <c r="AE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</row>
    <row r="365" spans="2:49" ht="12.75" hidden="1">
      <c r="B365" t="s">
        <v>1152</v>
      </c>
      <c r="C365" s="196" t="s">
        <v>1153</v>
      </c>
      <c r="D365" s="200">
        <v>0</v>
      </c>
      <c r="E365" s="287"/>
      <c r="F365" s="287"/>
      <c r="G365" s="200">
        <v>0</v>
      </c>
      <c r="H365" s="86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59">
        <f t="shared" si="17"/>
        <v>0</v>
      </c>
      <c r="U365" s="161" t="e">
        <f>IF(SUM(H365:S365)-#REF!=0,"","adjust profile")</f>
        <v>#REF!</v>
      </c>
      <c r="V365" s="162"/>
      <c r="W365" s="255"/>
      <c r="X365" s="32"/>
      <c r="Y365" s="32"/>
      <c r="Z365" s="32"/>
      <c r="AA365" s="32"/>
      <c r="AB365" s="32"/>
      <c r="AC365" s="32"/>
      <c r="AD365" s="33"/>
      <c r="AE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</row>
    <row r="366" spans="2:49" ht="12.75" hidden="1">
      <c r="B366" t="s">
        <v>1154</v>
      </c>
      <c r="C366" s="196" t="s">
        <v>1155</v>
      </c>
      <c r="D366" s="200">
        <v>0</v>
      </c>
      <c r="E366" s="287"/>
      <c r="F366" s="287"/>
      <c r="G366" s="200">
        <v>0</v>
      </c>
      <c r="H366" s="86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59">
        <f t="shared" si="17"/>
        <v>0</v>
      </c>
      <c r="U366" s="161" t="e">
        <f>IF(SUM(H366:S366)-#REF!=0,"","adjust profile")</f>
        <v>#REF!</v>
      </c>
      <c r="V366" s="162"/>
      <c r="W366" s="255"/>
      <c r="X366" s="32"/>
      <c r="Y366" s="32"/>
      <c r="Z366" s="32"/>
      <c r="AA366" s="32"/>
      <c r="AB366" s="32"/>
      <c r="AC366" s="32"/>
      <c r="AD366" s="33"/>
      <c r="AE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</row>
    <row r="367" spans="2:49" ht="12.75" hidden="1">
      <c r="B367" t="s">
        <v>1156</v>
      </c>
      <c r="C367" s="196" t="s">
        <v>1157</v>
      </c>
      <c r="D367" s="200">
        <v>0</v>
      </c>
      <c r="E367" s="287"/>
      <c r="F367" s="287"/>
      <c r="G367" s="200">
        <v>0</v>
      </c>
      <c r="H367" s="86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59">
        <f t="shared" si="17"/>
        <v>0</v>
      </c>
      <c r="U367" s="161" t="e">
        <f>IF(SUM(H367:S367)-#REF!=0,"","adjust profile")</f>
        <v>#REF!</v>
      </c>
      <c r="V367" s="162"/>
      <c r="W367" s="255"/>
      <c r="X367" s="32"/>
      <c r="Y367" s="32"/>
      <c r="Z367" s="32"/>
      <c r="AA367" s="32"/>
      <c r="AB367" s="32"/>
      <c r="AC367" s="32"/>
      <c r="AD367" s="33"/>
      <c r="AE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</row>
    <row r="368" spans="1:50" ht="13.5" thickBot="1">
      <c r="A368" s="29" t="s">
        <v>1169</v>
      </c>
      <c r="B368" s="189" t="s">
        <v>299</v>
      </c>
      <c r="C368" s="22" t="s">
        <v>213</v>
      </c>
      <c r="D368" s="38">
        <f>-0.315-1.945</f>
        <v>-2.2600000000000002</v>
      </c>
      <c r="E368" s="285"/>
      <c r="F368" s="285"/>
      <c r="G368" s="22"/>
      <c r="H368" s="47"/>
      <c r="S368" s="6">
        <f>D368</f>
        <v>-2.2600000000000002</v>
      </c>
      <c r="T368" s="159">
        <f t="shared" si="17"/>
        <v>-0.3766666666666667</v>
      </c>
      <c r="U368" s="161">
        <f aca="true" t="shared" si="19" ref="U368:U373">IF(SUM(H368:S368)-D368=0,"","adjust profile")</f>
      </c>
      <c r="V368" s="162"/>
      <c r="W368" s="255"/>
      <c r="X368" s="32">
        <f>2-0.315</f>
        <v>1.685</v>
      </c>
      <c r="Y368" s="32"/>
      <c r="Z368" s="32"/>
      <c r="AA368" s="32">
        <v>1</v>
      </c>
      <c r="AB368" s="32"/>
      <c r="AC368" s="32">
        <f>AW368</f>
        <v>16.887</v>
      </c>
      <c r="AD368" s="33"/>
      <c r="AE368" s="33">
        <f>SUM(X368:AD368)</f>
        <v>19.572</v>
      </c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>
        <v>0.04</v>
      </c>
      <c r="AR368" s="33"/>
      <c r="AS368" s="33"/>
      <c r="AT368" s="33"/>
      <c r="AU368" s="33"/>
      <c r="AV368" s="33">
        <f>16+0.3+0.547</f>
        <v>16.847</v>
      </c>
      <c r="AW368" s="33">
        <f>SUM(AG368:AV368)</f>
        <v>16.887</v>
      </c>
      <c r="AX368" s="29" t="s">
        <v>382</v>
      </c>
    </row>
    <row r="369" spans="3:49" ht="12.75">
      <c r="C369" s="7" t="s">
        <v>70</v>
      </c>
      <c r="D369" s="99">
        <f>D20+D63+D78+D125+D150+D185+D220+D237+D262+D287+D314+D368</f>
        <v>19.572</v>
      </c>
      <c r="E369" s="135"/>
      <c r="F369" s="291"/>
      <c r="G369" s="99">
        <f aca="true" t="shared" si="20" ref="G369:T369">G20+G63+G78+G125+G150+G185+G220+G237+G262+G287+G314+G368</f>
        <v>1.143</v>
      </c>
      <c r="H369" s="116">
        <f t="shared" si="20"/>
        <v>0</v>
      </c>
      <c r="I369" s="116">
        <f t="shared" si="20"/>
        <v>0</v>
      </c>
      <c r="J369" s="116">
        <f t="shared" si="20"/>
        <v>0</v>
      </c>
      <c r="K369" s="116">
        <f t="shared" si="20"/>
        <v>0</v>
      </c>
      <c r="L369" s="116">
        <f t="shared" si="20"/>
        <v>0</v>
      </c>
      <c r="M369" s="116">
        <f t="shared" si="20"/>
        <v>0</v>
      </c>
      <c r="N369" s="116">
        <f t="shared" si="20"/>
        <v>0</v>
      </c>
      <c r="O369" s="116">
        <f t="shared" si="20"/>
        <v>0</v>
      </c>
      <c r="P369" s="116">
        <f t="shared" si="20"/>
        <v>0</v>
      </c>
      <c r="Q369" s="116">
        <f t="shared" si="20"/>
        <v>0</v>
      </c>
      <c r="R369" s="116">
        <f t="shared" si="20"/>
        <v>0</v>
      </c>
      <c r="S369" s="116">
        <f t="shared" si="20"/>
        <v>-2.2600000000000002</v>
      </c>
      <c r="T369" s="13">
        <f t="shared" si="20"/>
        <v>3.2620000000000005</v>
      </c>
      <c r="U369" s="161" t="str">
        <f t="shared" si="19"/>
        <v>adjust profile</v>
      </c>
      <c r="V369" s="162"/>
      <c r="W369" s="255"/>
      <c r="X369" s="13">
        <f>X20+X63+X78+X125+X150+X185+X220+X237+X262+X287+X314+X368</f>
        <v>1.685</v>
      </c>
      <c r="Y369" s="13">
        <f aca="true" t="shared" si="21" ref="Y369:AE369">Y20+Y63+Y78+Y125+Y150+Y185+Y220+Y237+Y262+Y287+Y314+Y368</f>
        <v>0</v>
      </c>
      <c r="Z369" s="13">
        <f t="shared" si="21"/>
        <v>0</v>
      </c>
      <c r="AA369" s="13">
        <f t="shared" si="21"/>
        <v>1</v>
      </c>
      <c r="AB369" s="13">
        <f t="shared" si="21"/>
        <v>0</v>
      </c>
      <c r="AC369" s="13">
        <f t="shared" si="21"/>
        <v>16.887</v>
      </c>
      <c r="AD369" s="13">
        <f t="shared" si="21"/>
        <v>0</v>
      </c>
      <c r="AE369" s="129">
        <f t="shared" si="21"/>
        <v>19.572</v>
      </c>
      <c r="AF369" s="116"/>
      <c r="AG369" s="13">
        <f aca="true" t="shared" si="22" ref="AG369:AW369">AG20+AG63+AG78+AG125+AG150+AG185+AG220+AG237+AG262+AG287+AG314+AG368</f>
        <v>0</v>
      </c>
      <c r="AH369" s="13">
        <f t="shared" si="22"/>
        <v>0</v>
      </c>
      <c r="AI369" s="13">
        <f t="shared" si="22"/>
        <v>0</v>
      </c>
      <c r="AJ369" s="13">
        <f t="shared" si="22"/>
        <v>0</v>
      </c>
      <c r="AK369" s="13">
        <f t="shared" si="22"/>
        <v>0</v>
      </c>
      <c r="AL369" s="13">
        <f t="shared" si="22"/>
        <v>0</v>
      </c>
      <c r="AM369" s="13">
        <f t="shared" si="22"/>
        <v>0</v>
      </c>
      <c r="AN369" s="13">
        <f t="shared" si="22"/>
        <v>0</v>
      </c>
      <c r="AO369" s="13">
        <f t="shared" si="22"/>
        <v>0</v>
      </c>
      <c r="AP369" s="13">
        <f t="shared" si="22"/>
        <v>0</v>
      </c>
      <c r="AQ369" s="13">
        <f t="shared" si="22"/>
        <v>0.04</v>
      </c>
      <c r="AR369" s="13">
        <f t="shared" si="22"/>
        <v>0</v>
      </c>
      <c r="AS369" s="13">
        <f t="shared" si="22"/>
        <v>0</v>
      </c>
      <c r="AT369" s="13">
        <f t="shared" si="22"/>
        <v>0</v>
      </c>
      <c r="AU369" s="13">
        <f t="shared" si="22"/>
        <v>0</v>
      </c>
      <c r="AV369" s="13">
        <f t="shared" si="22"/>
        <v>16.847</v>
      </c>
      <c r="AW369" s="13">
        <f t="shared" si="22"/>
        <v>16.887</v>
      </c>
    </row>
    <row r="370" spans="3:49" ht="13.5" thickBot="1">
      <c r="C370" s="5"/>
      <c r="D370" s="89"/>
      <c r="E370" s="282"/>
      <c r="F370" s="284"/>
      <c r="G370" s="168"/>
      <c r="H370" s="86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70"/>
      <c r="U370" s="161">
        <f t="shared" si="19"/>
      </c>
      <c r="V370" s="162"/>
      <c r="W370" s="255"/>
      <c r="X370" s="32"/>
      <c r="Y370" s="32"/>
      <c r="Z370" s="32"/>
      <c r="AA370" s="32"/>
      <c r="AB370" s="32"/>
      <c r="AC370" s="32"/>
      <c r="AD370" s="33"/>
      <c r="AE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</row>
    <row r="371" spans="3:49" ht="13.5" thickBot="1">
      <c r="C371" s="7" t="s">
        <v>186</v>
      </c>
      <c r="D371" s="46">
        <f>D16+D369</f>
        <v>54.58500000000001</v>
      </c>
      <c r="E371" s="292"/>
      <c r="F371" s="293"/>
      <c r="G371" s="21">
        <f aca="true" t="shared" si="23" ref="G371:T371">G16+G369</f>
        <v>4.1129999999999995</v>
      </c>
      <c r="H371" s="91">
        <f t="shared" si="23"/>
        <v>0</v>
      </c>
      <c r="I371" s="24">
        <f t="shared" si="23"/>
        <v>0</v>
      </c>
      <c r="J371" s="24">
        <f t="shared" si="23"/>
        <v>0</v>
      </c>
      <c r="K371" s="24">
        <f t="shared" si="23"/>
        <v>0</v>
      </c>
      <c r="L371" s="24">
        <f t="shared" si="23"/>
        <v>0</v>
      </c>
      <c r="M371" s="24">
        <f t="shared" si="23"/>
        <v>0</v>
      </c>
      <c r="N371" s="24">
        <f t="shared" si="23"/>
        <v>0</v>
      </c>
      <c r="O371" s="24">
        <f t="shared" si="23"/>
        <v>0</v>
      </c>
      <c r="P371" s="24">
        <f t="shared" si="23"/>
        <v>0</v>
      </c>
      <c r="Q371" s="24">
        <f t="shared" si="23"/>
        <v>0</v>
      </c>
      <c r="R371" s="24">
        <f t="shared" si="23"/>
        <v>0</v>
      </c>
      <c r="S371" s="24">
        <f t="shared" si="23"/>
        <v>-2.2600000000000002</v>
      </c>
      <c r="T371" s="21">
        <f t="shared" si="23"/>
        <v>9.0975</v>
      </c>
      <c r="U371" s="161" t="str">
        <f t="shared" si="19"/>
        <v>adjust profile</v>
      </c>
      <c r="V371" s="162"/>
      <c r="W371" s="255"/>
      <c r="X371" s="26">
        <f aca="true" t="shared" si="24" ref="X371:AE371">X369+X16</f>
        <v>5.166</v>
      </c>
      <c r="Y371" s="26">
        <f t="shared" si="24"/>
        <v>0</v>
      </c>
      <c r="Z371" s="26">
        <f t="shared" si="24"/>
        <v>0</v>
      </c>
      <c r="AA371" s="26">
        <f t="shared" si="24"/>
        <v>1</v>
      </c>
      <c r="AB371" s="26">
        <f t="shared" si="24"/>
        <v>5.231</v>
      </c>
      <c r="AC371" s="26">
        <f t="shared" si="24"/>
        <v>43.188</v>
      </c>
      <c r="AD371" s="26">
        <f t="shared" si="24"/>
        <v>0</v>
      </c>
      <c r="AE371" s="26">
        <f t="shared" si="24"/>
        <v>54.58500000000001</v>
      </c>
      <c r="AG371" s="35">
        <f aca="true" t="shared" si="25" ref="AG371:AW371">AG369+AG16</f>
        <v>0</v>
      </c>
      <c r="AH371" s="35">
        <f t="shared" si="25"/>
        <v>1</v>
      </c>
      <c r="AI371" s="35">
        <f t="shared" si="25"/>
        <v>0</v>
      </c>
      <c r="AJ371" s="35">
        <f t="shared" si="25"/>
        <v>0</v>
      </c>
      <c r="AK371" s="35">
        <f t="shared" si="25"/>
        <v>0</v>
      </c>
      <c r="AL371" s="35">
        <f t="shared" si="25"/>
        <v>0</v>
      </c>
      <c r="AM371" s="35">
        <f t="shared" si="25"/>
        <v>0</v>
      </c>
      <c r="AN371" s="35">
        <f t="shared" si="25"/>
        <v>0.73</v>
      </c>
      <c r="AO371" s="35">
        <f t="shared" si="25"/>
        <v>1.362</v>
      </c>
      <c r="AP371" s="35">
        <f t="shared" si="25"/>
        <v>0.679</v>
      </c>
      <c r="AQ371" s="35">
        <f t="shared" si="25"/>
        <v>1.59</v>
      </c>
      <c r="AR371" s="35">
        <f t="shared" si="25"/>
        <v>0</v>
      </c>
      <c r="AS371" s="35">
        <f t="shared" si="25"/>
        <v>0</v>
      </c>
      <c r="AT371" s="35">
        <f t="shared" si="25"/>
        <v>20.98</v>
      </c>
      <c r="AU371" s="35">
        <f t="shared" si="25"/>
        <v>0</v>
      </c>
      <c r="AV371" s="35">
        <f t="shared" si="25"/>
        <v>16.847</v>
      </c>
      <c r="AW371" s="35">
        <f t="shared" si="25"/>
        <v>43.188</v>
      </c>
    </row>
    <row r="372" spans="3:49" ht="12.75">
      <c r="C372" s="5"/>
      <c r="D372" s="89"/>
      <c r="E372" s="282"/>
      <c r="G372" s="168"/>
      <c r="H372" s="86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90"/>
      <c r="T372" s="90"/>
      <c r="U372" s="161">
        <f t="shared" si="19"/>
      </c>
      <c r="V372" s="162"/>
      <c r="W372" s="255"/>
      <c r="X372" s="32"/>
      <c r="Y372" s="32"/>
      <c r="Z372" s="32"/>
      <c r="AA372" s="32"/>
      <c r="AB372" s="32"/>
      <c r="AC372" s="32"/>
      <c r="AD372" s="33"/>
      <c r="AE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</row>
    <row r="373" spans="3:49" ht="12.75">
      <c r="C373" s="7" t="s">
        <v>227</v>
      </c>
      <c r="D373" s="5"/>
      <c r="E373" s="282"/>
      <c r="G373" s="168"/>
      <c r="H373" s="86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90"/>
      <c r="T373" s="9"/>
      <c r="U373" s="161">
        <f t="shared" si="19"/>
      </c>
      <c r="V373" s="162"/>
      <c r="W373" s="255"/>
      <c r="X373" s="32"/>
      <c r="Y373" s="32"/>
      <c r="Z373" s="32"/>
      <c r="AA373" s="32"/>
      <c r="AB373" s="32"/>
      <c r="AC373" s="32"/>
      <c r="AD373" s="33"/>
      <c r="AE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</row>
    <row r="374" spans="2:49" ht="12.75">
      <c r="B374" s="23"/>
      <c r="C374" s="47" t="s">
        <v>362</v>
      </c>
      <c r="D374" s="182">
        <v>0.022</v>
      </c>
      <c r="E374" s="315" t="s">
        <v>1226</v>
      </c>
      <c r="F374" s="317" t="s">
        <v>1227</v>
      </c>
      <c r="G374" s="90"/>
      <c r="H374" s="321">
        <v>0.004</v>
      </c>
      <c r="I374" s="322">
        <v>0.004</v>
      </c>
      <c r="J374" s="322">
        <v>0.005</v>
      </c>
      <c r="K374" s="322">
        <v>0.005</v>
      </c>
      <c r="L374" s="322">
        <v>0.004</v>
      </c>
      <c r="M374" s="322"/>
      <c r="N374" s="322"/>
      <c r="O374" s="323"/>
      <c r="P374" s="323"/>
      <c r="Q374" s="323"/>
      <c r="R374" s="323"/>
      <c r="S374" s="324"/>
      <c r="T374" s="159">
        <f>SUM(H374:I374)</f>
        <v>0.008</v>
      </c>
      <c r="U374" s="161"/>
      <c r="V374" s="162"/>
      <c r="W374" s="255"/>
      <c r="X374" s="32"/>
      <c r="Y374" s="32"/>
      <c r="Z374" s="32"/>
      <c r="AA374" s="32"/>
      <c r="AC374" s="32">
        <f aca="true" t="shared" si="26" ref="AC374:AC389">SUM(AG374:AV374)</f>
        <v>0.022</v>
      </c>
      <c r="AD374" s="33"/>
      <c r="AE374" s="33">
        <f aca="true" t="shared" si="27" ref="AE374:AE389">SUM(X374:AD374)</f>
        <v>0.022</v>
      </c>
      <c r="AG374" s="33"/>
      <c r="AH374" s="33"/>
      <c r="AI374" s="33">
        <v>0.022</v>
      </c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>
        <f aca="true" t="shared" si="28" ref="AW374:AW389">SUM(AG374:AV374)</f>
        <v>0.022</v>
      </c>
    </row>
    <row r="375" spans="1:49" ht="12.75">
      <c r="A375" s="23"/>
      <c r="B375" s="23"/>
      <c r="C375" s="47" t="s">
        <v>173</v>
      </c>
      <c r="D375" s="22">
        <f>0.02+0.019-0.011</f>
        <v>0.028</v>
      </c>
      <c r="E375" s="315" t="s">
        <v>1226</v>
      </c>
      <c r="F375" s="317" t="s">
        <v>1227</v>
      </c>
      <c r="G375" s="90"/>
      <c r="H375" s="187"/>
      <c r="I375" s="184"/>
      <c r="J375" s="178"/>
      <c r="K375" s="184"/>
      <c r="L375" s="184"/>
      <c r="M375" s="184"/>
      <c r="N375" s="184"/>
      <c r="O375" s="210"/>
      <c r="P375" s="210"/>
      <c r="Q375" s="210"/>
      <c r="R375" s="210"/>
      <c r="S375" s="325">
        <v>0.028</v>
      </c>
      <c r="T375" s="159">
        <f aca="true" t="shared" si="29" ref="T375:T399">SUM(H375:I375)</f>
        <v>0</v>
      </c>
      <c r="U375" s="161">
        <f>IF(SUM(H375:S375)-D375=0,"","adjust profile")</f>
      </c>
      <c r="V375" s="162"/>
      <c r="W375" s="255"/>
      <c r="X375" s="32"/>
      <c r="Y375" s="32"/>
      <c r="Z375" s="32"/>
      <c r="AA375" s="32"/>
      <c r="AC375" s="32">
        <f t="shared" si="26"/>
        <v>0.028</v>
      </c>
      <c r="AD375" s="33"/>
      <c r="AE375" s="33">
        <f t="shared" si="27"/>
        <v>0.028</v>
      </c>
      <c r="AF375" s="29">
        <f>IF(D375-AE375&lt;&gt;0,"here","")</f>
      </c>
      <c r="AG375" s="33"/>
      <c r="AH375" s="33"/>
      <c r="AI375" s="33"/>
      <c r="AJ375" s="33">
        <f>0.02+0.019-0.011</f>
        <v>0.028</v>
      </c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>
        <f t="shared" si="28"/>
        <v>0.028</v>
      </c>
    </row>
    <row r="376" spans="1:49" ht="12.75">
      <c r="A376" s="23"/>
      <c r="B376" s="23"/>
      <c r="C376" s="47" t="s">
        <v>171</v>
      </c>
      <c r="D376" s="182">
        <f>0.087+0.094</f>
        <v>0.181</v>
      </c>
      <c r="E376" s="315" t="s">
        <v>1226</v>
      </c>
      <c r="F376" s="317" t="s">
        <v>1227</v>
      </c>
      <c r="G376" s="90"/>
      <c r="H376" s="187"/>
      <c r="I376" s="184"/>
      <c r="J376" s="184"/>
      <c r="K376" s="184"/>
      <c r="L376" s="178"/>
      <c r="M376" s="184"/>
      <c r="N376" s="184"/>
      <c r="O376" s="210"/>
      <c r="P376" s="210"/>
      <c r="Q376" s="210"/>
      <c r="R376" s="210"/>
      <c r="S376" s="325">
        <v>0.181</v>
      </c>
      <c r="T376" s="159">
        <f t="shared" si="29"/>
        <v>0</v>
      </c>
      <c r="U376" s="161">
        <f>IF(SUM(H376:S376)-D376=0,"","adjust profile")</f>
      </c>
      <c r="V376" s="162"/>
      <c r="W376" s="255"/>
      <c r="X376" s="32"/>
      <c r="Y376" s="32"/>
      <c r="Z376" s="32"/>
      <c r="AA376" s="32"/>
      <c r="AB376" s="6">
        <f>0.087+0.094</f>
        <v>0.181</v>
      </c>
      <c r="AC376" s="32">
        <f t="shared" si="26"/>
        <v>0</v>
      </c>
      <c r="AD376" s="33"/>
      <c r="AE376" s="33">
        <f t="shared" si="27"/>
        <v>0.181</v>
      </c>
      <c r="AF376" s="29">
        <f>IF(D376-AE376&lt;&gt;0,"here","")</f>
      </c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>
        <f t="shared" si="28"/>
        <v>0</v>
      </c>
    </row>
    <row r="377" spans="1:49" ht="12.75">
      <c r="A377" s="23"/>
      <c r="B377" s="23"/>
      <c r="C377" s="47" t="s">
        <v>172</v>
      </c>
      <c r="D377" s="182">
        <v>2.128</v>
      </c>
      <c r="E377" s="315" t="s">
        <v>1226</v>
      </c>
      <c r="F377" s="317" t="s">
        <v>1227</v>
      </c>
      <c r="G377" s="90">
        <v>0.199</v>
      </c>
      <c r="H377" s="187">
        <v>0.177</v>
      </c>
      <c r="I377" s="184">
        <v>0.178</v>
      </c>
      <c r="J377" s="184">
        <v>0.177</v>
      </c>
      <c r="K377" s="184">
        <v>0.178</v>
      </c>
      <c r="L377" s="184">
        <v>0.177</v>
      </c>
      <c r="M377" s="184">
        <v>0.177</v>
      </c>
      <c r="N377" s="184">
        <v>0.177</v>
      </c>
      <c r="O377" s="184">
        <v>0.177</v>
      </c>
      <c r="P377" s="184">
        <v>0.177</v>
      </c>
      <c r="Q377" s="184">
        <v>0.177</v>
      </c>
      <c r="R377" s="184">
        <v>0.178</v>
      </c>
      <c r="S377" s="320">
        <v>0.178</v>
      </c>
      <c r="T377" s="159">
        <f t="shared" si="29"/>
        <v>0.355</v>
      </c>
      <c r="U377" s="161">
        <f>IF(SUM(H377:S377)-D377=0,"","adjust profile")</f>
      </c>
      <c r="V377" s="162"/>
      <c r="W377" s="255"/>
      <c r="X377" s="32"/>
      <c r="Y377" s="32"/>
      <c r="Z377" s="32"/>
      <c r="AA377" s="32"/>
      <c r="AC377" s="32">
        <f t="shared" si="26"/>
        <v>2.128</v>
      </c>
      <c r="AD377" s="33"/>
      <c r="AE377" s="33">
        <f t="shared" si="27"/>
        <v>2.128</v>
      </c>
      <c r="AF377" s="29">
        <f>IF(D377-AE377&lt;&gt;0,"here","")</f>
      </c>
      <c r="AG377" s="33"/>
      <c r="AH377" s="33"/>
      <c r="AI377" s="33"/>
      <c r="AJ377" s="33"/>
      <c r="AK377" s="33"/>
      <c r="AL377" s="33">
        <v>2.128</v>
      </c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>
        <f t="shared" si="28"/>
        <v>2.128</v>
      </c>
    </row>
    <row r="378" spans="1:49" ht="12.75">
      <c r="A378" s="23"/>
      <c r="B378" s="23"/>
      <c r="C378" s="47" t="s">
        <v>170</v>
      </c>
      <c r="D378" s="182">
        <v>3.843</v>
      </c>
      <c r="E378" s="315" t="s">
        <v>1226</v>
      </c>
      <c r="F378" s="317" t="s">
        <v>1227</v>
      </c>
      <c r="G378" s="90"/>
      <c r="H378" s="187">
        <v>0.055</v>
      </c>
      <c r="I378" s="184">
        <v>0.055</v>
      </c>
      <c r="J378" s="184">
        <v>0.055</v>
      </c>
      <c r="K378" s="184">
        <v>0.054</v>
      </c>
      <c r="L378" s="184">
        <v>0.055</v>
      </c>
      <c r="M378" s="184">
        <v>0.509</v>
      </c>
      <c r="N378" s="184">
        <v>0.51</v>
      </c>
      <c r="O378" s="210">
        <v>0.509</v>
      </c>
      <c r="P378" s="210">
        <v>0.51</v>
      </c>
      <c r="Q378" s="210">
        <v>0.509</v>
      </c>
      <c r="R378" s="210">
        <v>0.51</v>
      </c>
      <c r="S378" s="325">
        <v>0.512</v>
      </c>
      <c r="T378" s="159">
        <f t="shared" si="29"/>
        <v>0.11</v>
      </c>
      <c r="U378" s="161" t="str">
        <f>IF(SUM(H378:S378)-D378=0,"","adjust profile")</f>
        <v>adjust profile</v>
      </c>
      <c r="V378" s="162"/>
      <c r="W378" s="255"/>
      <c r="X378" s="32"/>
      <c r="Y378" s="32"/>
      <c r="Z378" s="32"/>
      <c r="AA378" s="32"/>
      <c r="AB378" s="6">
        <v>1.512</v>
      </c>
      <c r="AC378" s="32">
        <f t="shared" si="26"/>
        <v>2.331</v>
      </c>
      <c r="AD378" s="33"/>
      <c r="AE378" s="33">
        <f t="shared" si="27"/>
        <v>3.843</v>
      </c>
      <c r="AF378" s="29">
        <f>IF(D378-AE378&lt;&gt;0,"here","")</f>
      </c>
      <c r="AG378" s="33"/>
      <c r="AH378" s="33"/>
      <c r="AI378" s="33">
        <v>2.331</v>
      </c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>
        <f t="shared" si="28"/>
        <v>2.331</v>
      </c>
    </row>
    <row r="379" spans="1:49" ht="12.75">
      <c r="A379" s="23"/>
      <c r="B379" s="23"/>
      <c r="C379" s="47" t="s">
        <v>365</v>
      </c>
      <c r="D379" s="182">
        <v>0.001</v>
      </c>
      <c r="E379" s="315" t="s">
        <v>1226</v>
      </c>
      <c r="F379" s="317" t="s">
        <v>1228</v>
      </c>
      <c r="G379" s="90"/>
      <c r="H379" s="187"/>
      <c r="I379" s="184"/>
      <c r="J379" s="184"/>
      <c r="K379" s="184"/>
      <c r="L379" s="184"/>
      <c r="M379" s="184"/>
      <c r="N379" s="184"/>
      <c r="O379" s="210"/>
      <c r="P379" s="210"/>
      <c r="Q379" s="210"/>
      <c r="R379" s="210"/>
      <c r="S379" s="325">
        <v>0.001</v>
      </c>
      <c r="T379" s="159">
        <f t="shared" si="29"/>
        <v>0</v>
      </c>
      <c r="U379" s="161"/>
      <c r="V379" s="162"/>
      <c r="W379" s="255"/>
      <c r="X379" s="32"/>
      <c r="Y379" s="32"/>
      <c r="Z379" s="32"/>
      <c r="AA379" s="32"/>
      <c r="AB379" s="6">
        <v>0.001</v>
      </c>
      <c r="AC379" s="32">
        <f t="shared" si="26"/>
        <v>0</v>
      </c>
      <c r="AD379" s="33"/>
      <c r="AE379" s="33">
        <f t="shared" si="27"/>
        <v>0.001</v>
      </c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>
        <f t="shared" si="28"/>
        <v>0</v>
      </c>
    </row>
    <row r="380" spans="1:49" ht="12.75">
      <c r="A380" s="23"/>
      <c r="B380" s="23"/>
      <c r="C380" s="47" t="s">
        <v>175</v>
      </c>
      <c r="D380" s="182">
        <f>0.005+0.018</f>
        <v>0.023</v>
      </c>
      <c r="E380" s="315" t="s">
        <v>1226</v>
      </c>
      <c r="F380" s="317" t="s">
        <v>1227</v>
      </c>
      <c r="G380" s="90"/>
      <c r="H380" s="187"/>
      <c r="I380" s="184"/>
      <c r="J380" s="184"/>
      <c r="K380" s="184"/>
      <c r="L380" s="184">
        <v>0.023</v>
      </c>
      <c r="M380" s="184"/>
      <c r="N380" s="184"/>
      <c r="O380" s="184"/>
      <c r="P380" s="184"/>
      <c r="Q380" s="184"/>
      <c r="R380" s="184"/>
      <c r="S380" s="320"/>
      <c r="T380" s="159">
        <f t="shared" si="29"/>
        <v>0</v>
      </c>
      <c r="U380" s="161">
        <f aca="true" t="shared" si="30" ref="U380:U387">IF(SUM(H380:S380)-D380=0,"","adjust profile")</f>
      </c>
      <c r="V380" s="162"/>
      <c r="W380" s="255"/>
      <c r="X380" s="32"/>
      <c r="Y380" s="32"/>
      <c r="Z380" s="32"/>
      <c r="AA380" s="32"/>
      <c r="AB380" s="6">
        <v>0.018</v>
      </c>
      <c r="AC380" s="32">
        <f t="shared" si="26"/>
        <v>0.005</v>
      </c>
      <c r="AD380" s="33"/>
      <c r="AE380" s="33">
        <f t="shared" si="27"/>
        <v>0.023</v>
      </c>
      <c r="AF380" s="29">
        <f aca="true" t="shared" si="31" ref="AF380:AF387">IF(D380-AE380&lt;&gt;0,"here","")</f>
      </c>
      <c r="AG380" s="33"/>
      <c r="AH380" s="33"/>
      <c r="AI380" s="33"/>
      <c r="AJ380" s="33"/>
      <c r="AK380" s="33"/>
      <c r="AL380" s="33">
        <v>0.005</v>
      </c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>
        <f t="shared" si="28"/>
        <v>0.005</v>
      </c>
    </row>
    <row r="381" spans="1:49" ht="12.75">
      <c r="A381" s="23"/>
      <c r="B381" s="23"/>
      <c r="C381" s="47" t="s">
        <v>287</v>
      </c>
      <c r="D381" s="22">
        <f>0.052+0.052-0.007</f>
        <v>0.09699999999999999</v>
      </c>
      <c r="E381" s="316" t="s">
        <v>1229</v>
      </c>
      <c r="F381" s="317" t="s">
        <v>1230</v>
      </c>
      <c r="G381" s="90"/>
      <c r="H381" s="187"/>
      <c r="I381" s="184"/>
      <c r="J381" s="184"/>
      <c r="K381" s="184"/>
      <c r="L381" s="184">
        <v>0.097</v>
      </c>
      <c r="M381" s="184"/>
      <c r="N381" s="184"/>
      <c r="O381" s="184"/>
      <c r="P381" s="210"/>
      <c r="Q381" s="210"/>
      <c r="R381" s="210"/>
      <c r="S381" s="325"/>
      <c r="T381" s="159">
        <f t="shared" si="29"/>
        <v>0</v>
      </c>
      <c r="U381" s="161" t="str">
        <f t="shared" si="30"/>
        <v>adjust profile</v>
      </c>
      <c r="V381" s="162"/>
      <c r="W381" s="255"/>
      <c r="X381" s="32"/>
      <c r="Y381" s="32"/>
      <c r="Z381" s="32"/>
      <c r="AA381" s="32"/>
      <c r="AC381" s="32">
        <f t="shared" si="26"/>
        <v>0.09699999999999999</v>
      </c>
      <c r="AD381" s="33"/>
      <c r="AE381" s="33">
        <f t="shared" si="27"/>
        <v>0.09699999999999999</v>
      </c>
      <c r="AF381" s="29">
        <f t="shared" si="31"/>
      </c>
      <c r="AG381" s="33"/>
      <c r="AH381" s="33"/>
      <c r="AI381" s="33"/>
      <c r="AJ381" s="33">
        <f>0.052+0.052-0.007</f>
        <v>0.09699999999999999</v>
      </c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>
        <f t="shared" si="28"/>
        <v>0.09699999999999999</v>
      </c>
    </row>
    <row r="382" spans="1:49" ht="12.75">
      <c r="A382" s="23"/>
      <c r="B382" s="23"/>
      <c r="C382" s="47" t="s">
        <v>288</v>
      </c>
      <c r="D382" s="182">
        <v>3.751</v>
      </c>
      <c r="E382" s="315" t="s">
        <v>1226</v>
      </c>
      <c r="F382" s="317" t="s">
        <v>1227</v>
      </c>
      <c r="G382" s="90">
        <f>0.001+0.169</f>
        <v>0.17</v>
      </c>
      <c r="H382" s="187">
        <v>0.198</v>
      </c>
      <c r="I382" s="184">
        <v>0.198</v>
      </c>
      <c r="J382" s="184">
        <v>0.198</v>
      </c>
      <c r="K382" s="184">
        <v>0.198</v>
      </c>
      <c r="L382" s="184">
        <v>0.199</v>
      </c>
      <c r="M382" s="184">
        <v>0.381</v>
      </c>
      <c r="N382" s="184">
        <v>0.381</v>
      </c>
      <c r="O382" s="184">
        <v>0.381</v>
      </c>
      <c r="P382" s="210">
        <v>0.381</v>
      </c>
      <c r="Q382" s="210">
        <v>0.381</v>
      </c>
      <c r="R382" s="210">
        <v>0.381</v>
      </c>
      <c r="S382" s="325">
        <f>0.383+0.091</f>
        <v>0.474</v>
      </c>
      <c r="T382" s="159">
        <f t="shared" si="29"/>
        <v>0.396</v>
      </c>
      <c r="U382" s="161" t="str">
        <f t="shared" si="30"/>
        <v>adjust profile</v>
      </c>
      <c r="V382" s="162"/>
      <c r="W382" s="255"/>
      <c r="X382" s="32">
        <v>0.499</v>
      </c>
      <c r="Y382" s="32"/>
      <c r="Z382" s="32"/>
      <c r="AA382" s="32"/>
      <c r="AB382" s="6">
        <f>0.773+0.633</f>
        <v>1.4060000000000001</v>
      </c>
      <c r="AC382" s="32">
        <f t="shared" si="26"/>
        <v>1.785</v>
      </c>
      <c r="AD382" s="33">
        <v>0.061</v>
      </c>
      <c r="AE382" s="33">
        <f t="shared" si="27"/>
        <v>3.7510000000000003</v>
      </c>
      <c r="AF382" s="29" t="str">
        <f t="shared" si="31"/>
        <v>here</v>
      </c>
      <c r="AG382" s="33"/>
      <c r="AH382" s="33"/>
      <c r="AI382" s="33">
        <f>0.888+0.321</f>
        <v>1.209</v>
      </c>
      <c r="AJ382" s="33"/>
      <c r="AK382" s="33"/>
      <c r="AL382" s="33">
        <v>0.473</v>
      </c>
      <c r="AM382" s="33">
        <v>0.103</v>
      </c>
      <c r="AN382" s="33"/>
      <c r="AO382" s="33"/>
      <c r="AP382" s="33"/>
      <c r="AQ382" s="33"/>
      <c r="AR382" s="33"/>
      <c r="AS382" s="33"/>
      <c r="AT382" s="33"/>
      <c r="AU382" s="33"/>
      <c r="AV382" s="33"/>
      <c r="AW382" s="33">
        <f t="shared" si="28"/>
        <v>1.785</v>
      </c>
    </row>
    <row r="383" spans="1:49" ht="12.75">
      <c r="A383" s="23"/>
      <c r="B383" s="23"/>
      <c r="C383" s="47" t="s">
        <v>246</v>
      </c>
      <c r="D383" s="182">
        <v>0.435</v>
      </c>
      <c r="E383" s="316" t="s">
        <v>1229</v>
      </c>
      <c r="F383" s="317" t="s">
        <v>1231</v>
      </c>
      <c r="G383" s="90">
        <v>0.042</v>
      </c>
      <c r="H383" s="187">
        <v>0.035</v>
      </c>
      <c r="I383" s="184">
        <v>0.035</v>
      </c>
      <c r="J383" s="184">
        <v>0.041</v>
      </c>
      <c r="K383" s="184">
        <v>0.035</v>
      </c>
      <c r="L383" s="184">
        <v>0.035</v>
      </c>
      <c r="M383" s="184">
        <v>0.035</v>
      </c>
      <c r="N383" s="184">
        <v>0.035</v>
      </c>
      <c r="O383" s="184">
        <v>0.035</v>
      </c>
      <c r="P383" s="210">
        <v>0.035</v>
      </c>
      <c r="Q383" s="210">
        <v>0.035</v>
      </c>
      <c r="R383" s="210">
        <v>0.035</v>
      </c>
      <c r="S383" s="325">
        <v>0.044</v>
      </c>
      <c r="T383" s="159">
        <f t="shared" si="29"/>
        <v>0.07</v>
      </c>
      <c r="U383" s="161" t="str">
        <f t="shared" si="30"/>
        <v>adjust profile</v>
      </c>
      <c r="V383" s="162"/>
      <c r="W383" s="255"/>
      <c r="X383" s="32">
        <v>0.323</v>
      </c>
      <c r="Y383" s="32"/>
      <c r="Z383" s="32"/>
      <c r="AA383" s="32"/>
      <c r="AB383" s="6">
        <v>0.112</v>
      </c>
      <c r="AC383" s="32">
        <f t="shared" si="26"/>
        <v>0</v>
      </c>
      <c r="AD383" s="33"/>
      <c r="AE383" s="33">
        <f t="shared" si="27"/>
        <v>0.435</v>
      </c>
      <c r="AF383" s="29">
        <f t="shared" si="31"/>
      </c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>
        <f t="shared" si="28"/>
        <v>0</v>
      </c>
    </row>
    <row r="384" spans="3:49" ht="12.75">
      <c r="C384" s="47" t="s">
        <v>169</v>
      </c>
      <c r="D384" s="182">
        <f>0.093+0.068</f>
        <v>0.161</v>
      </c>
      <c r="E384" s="316" t="s">
        <v>1232</v>
      </c>
      <c r="F384" s="317" t="s">
        <v>1227</v>
      </c>
      <c r="G384" s="90">
        <v>0.002</v>
      </c>
      <c r="H384" s="187">
        <v>0.014</v>
      </c>
      <c r="I384" s="184">
        <v>0.014</v>
      </c>
      <c r="J384" s="184">
        <v>0.014</v>
      </c>
      <c r="K384" s="184">
        <v>0.014</v>
      </c>
      <c r="L384" s="184">
        <v>0.012</v>
      </c>
      <c r="M384" s="184">
        <v>0.013</v>
      </c>
      <c r="N384" s="184">
        <v>0.013</v>
      </c>
      <c r="O384" s="184">
        <v>0.013</v>
      </c>
      <c r="P384" s="184">
        <v>0.013</v>
      </c>
      <c r="Q384" s="184">
        <v>0.013</v>
      </c>
      <c r="R384" s="184">
        <v>0.013</v>
      </c>
      <c r="S384" s="320">
        <v>0.015</v>
      </c>
      <c r="T384" s="159">
        <f t="shared" si="29"/>
        <v>0.028</v>
      </c>
      <c r="U384" s="161" t="str">
        <f t="shared" si="30"/>
        <v>adjust profile</v>
      </c>
      <c r="V384" s="162"/>
      <c r="W384" s="255"/>
      <c r="X384" s="32"/>
      <c r="Y384" s="32"/>
      <c r="Z384" s="32"/>
      <c r="AA384" s="32"/>
      <c r="AB384" s="6">
        <v>0.068</v>
      </c>
      <c r="AC384" s="32">
        <f t="shared" si="26"/>
        <v>0.093</v>
      </c>
      <c r="AD384" s="33"/>
      <c r="AE384" s="33">
        <f t="shared" si="27"/>
        <v>0.161</v>
      </c>
      <c r="AF384" s="29">
        <f t="shared" si="31"/>
      </c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>
        <v>0.093</v>
      </c>
      <c r="AW384" s="33">
        <f t="shared" si="28"/>
        <v>0.093</v>
      </c>
    </row>
    <row r="385" spans="2:49" ht="12.75">
      <c r="B385" s="23" t="s">
        <v>346</v>
      </c>
      <c r="C385" s="47" t="s">
        <v>245</v>
      </c>
      <c r="D385" s="182">
        <f>0.005+0.287+0.014</f>
        <v>0.306</v>
      </c>
      <c r="E385" s="316" t="s">
        <v>1233</v>
      </c>
      <c r="F385" s="317" t="s">
        <v>1234</v>
      </c>
      <c r="G385" s="90">
        <v>0.005</v>
      </c>
      <c r="H385" s="187">
        <v>0.025</v>
      </c>
      <c r="I385" s="184">
        <v>0.025</v>
      </c>
      <c r="J385" s="184">
        <v>0.025</v>
      </c>
      <c r="K385" s="184">
        <v>0.025</v>
      </c>
      <c r="L385" s="184">
        <v>0.025</v>
      </c>
      <c r="M385" s="184">
        <v>0.026</v>
      </c>
      <c r="N385" s="184">
        <v>0.026</v>
      </c>
      <c r="O385" s="210">
        <v>0.026</v>
      </c>
      <c r="P385" s="210">
        <v>0.026</v>
      </c>
      <c r="Q385" s="210">
        <v>0.026</v>
      </c>
      <c r="R385" s="210">
        <v>0.026</v>
      </c>
      <c r="S385" s="325">
        <v>0.025</v>
      </c>
      <c r="T385" s="159">
        <f t="shared" si="29"/>
        <v>0.05</v>
      </c>
      <c r="U385" s="161" t="str">
        <f t="shared" si="30"/>
        <v>adjust profile</v>
      </c>
      <c r="V385" s="162"/>
      <c r="W385" s="255"/>
      <c r="X385" s="32"/>
      <c r="Y385" s="32"/>
      <c r="Z385" s="32"/>
      <c r="AA385" s="32"/>
      <c r="AB385" s="6">
        <f>0.287+0.005+0.014</f>
        <v>0.306</v>
      </c>
      <c r="AC385" s="32">
        <f t="shared" si="26"/>
        <v>0</v>
      </c>
      <c r="AD385" s="33"/>
      <c r="AE385" s="33">
        <f t="shared" si="27"/>
        <v>0.306</v>
      </c>
      <c r="AF385" s="29">
        <f t="shared" si="31"/>
      </c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>
        <f t="shared" si="28"/>
        <v>0</v>
      </c>
    </row>
    <row r="386" spans="1:49" ht="12.75">
      <c r="A386" s="23"/>
      <c r="B386" s="23"/>
      <c r="C386" s="47" t="s">
        <v>174</v>
      </c>
      <c r="D386" s="182">
        <v>0.322</v>
      </c>
      <c r="E386" s="315" t="s">
        <v>1226</v>
      </c>
      <c r="F386" s="317" t="s">
        <v>1227</v>
      </c>
      <c r="G386" s="90">
        <v>0.07</v>
      </c>
      <c r="H386" s="187">
        <v>0.026</v>
      </c>
      <c r="I386" s="184">
        <v>0.026</v>
      </c>
      <c r="J386" s="184">
        <v>0.026</v>
      </c>
      <c r="K386" s="184">
        <v>0.026</v>
      </c>
      <c r="L386" s="184">
        <v>0.026</v>
      </c>
      <c r="M386" s="184">
        <v>0.027</v>
      </c>
      <c r="N386" s="184">
        <v>0.027</v>
      </c>
      <c r="O386" s="184">
        <v>0.027</v>
      </c>
      <c r="P386" s="184">
        <v>0.027</v>
      </c>
      <c r="Q386" s="184">
        <v>0.027</v>
      </c>
      <c r="R386" s="184">
        <v>0.027</v>
      </c>
      <c r="S386" s="320">
        <v>0.03</v>
      </c>
      <c r="T386" s="159">
        <f t="shared" si="29"/>
        <v>0.052</v>
      </c>
      <c r="U386" s="161" t="str">
        <f t="shared" si="30"/>
        <v>adjust profile</v>
      </c>
      <c r="V386" s="162"/>
      <c r="W386" s="255"/>
      <c r="X386" s="32">
        <v>0.001</v>
      </c>
      <c r="Y386" s="32"/>
      <c r="Z386" s="32"/>
      <c r="AA386" s="32"/>
      <c r="AB386" s="6">
        <v>0.321</v>
      </c>
      <c r="AC386" s="32">
        <f t="shared" si="26"/>
        <v>0</v>
      </c>
      <c r="AD386" s="33"/>
      <c r="AE386" s="33">
        <f t="shared" si="27"/>
        <v>0.322</v>
      </c>
      <c r="AF386" s="29">
        <f t="shared" si="31"/>
      </c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>
        <f t="shared" si="28"/>
        <v>0</v>
      </c>
    </row>
    <row r="387" spans="3:49" ht="15" customHeight="1">
      <c r="C387" s="47" t="s">
        <v>259</v>
      </c>
      <c r="D387" s="182">
        <f>0.015+0.021</f>
        <v>0.036000000000000004</v>
      </c>
      <c r="E387" s="315" t="s">
        <v>1226</v>
      </c>
      <c r="F387" s="317" t="s">
        <v>1227</v>
      </c>
      <c r="G387" s="248"/>
      <c r="H387" s="187">
        <v>0.003</v>
      </c>
      <c r="I387" s="184">
        <v>0.003</v>
      </c>
      <c r="J387" s="184">
        <v>0.003</v>
      </c>
      <c r="K387" s="184">
        <v>0.003</v>
      </c>
      <c r="L387" s="184">
        <v>0.003</v>
      </c>
      <c r="M387" s="184">
        <v>0.003</v>
      </c>
      <c r="N387" s="184">
        <v>0.003</v>
      </c>
      <c r="O387" s="184">
        <v>0.003</v>
      </c>
      <c r="P387" s="184">
        <v>0.003</v>
      </c>
      <c r="Q387" s="184">
        <v>0.003</v>
      </c>
      <c r="R387" s="184">
        <v>0.003</v>
      </c>
      <c r="S387" s="320">
        <v>0.003</v>
      </c>
      <c r="T387" s="159">
        <f t="shared" si="29"/>
        <v>0.006</v>
      </c>
      <c r="U387" s="161" t="str">
        <f t="shared" si="30"/>
        <v>adjust profile</v>
      </c>
      <c r="V387" s="162"/>
      <c r="W387" s="255"/>
      <c r="X387" s="32"/>
      <c r="Y387" s="32"/>
      <c r="Z387" s="32"/>
      <c r="AA387" s="32"/>
      <c r="AB387" s="32">
        <f>0.015+0.021</f>
        <v>0.036000000000000004</v>
      </c>
      <c r="AC387" s="32">
        <f t="shared" si="26"/>
        <v>0</v>
      </c>
      <c r="AD387" s="33"/>
      <c r="AE387" s="33">
        <f t="shared" si="27"/>
        <v>0.036000000000000004</v>
      </c>
      <c r="AF387" s="29">
        <f t="shared" si="31"/>
      </c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>
        <f t="shared" si="28"/>
        <v>0</v>
      </c>
    </row>
    <row r="388" spans="1:49" ht="12.75">
      <c r="A388" s="23"/>
      <c r="B388" s="23"/>
      <c r="C388" s="47" t="s">
        <v>366</v>
      </c>
      <c r="D388" s="182">
        <v>0.009</v>
      </c>
      <c r="E388" s="315" t="s">
        <v>1226</v>
      </c>
      <c r="F388" s="317" t="s">
        <v>1227</v>
      </c>
      <c r="G388" s="90"/>
      <c r="H388" s="187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320">
        <v>0.009</v>
      </c>
      <c r="T388" s="159">
        <f t="shared" si="29"/>
        <v>0</v>
      </c>
      <c r="U388" s="161"/>
      <c r="V388" s="162"/>
      <c r="W388" s="255"/>
      <c r="X388" s="32"/>
      <c r="Y388" s="32"/>
      <c r="Z388" s="32"/>
      <c r="AA388" s="32"/>
      <c r="AB388" s="6">
        <v>0.009</v>
      </c>
      <c r="AC388" s="32">
        <f t="shared" si="26"/>
        <v>0</v>
      </c>
      <c r="AD388" s="33"/>
      <c r="AE388" s="33">
        <f t="shared" si="27"/>
        <v>0.009</v>
      </c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>
        <f t="shared" si="28"/>
        <v>0</v>
      </c>
    </row>
    <row r="389" spans="1:49" ht="12.75">
      <c r="A389" s="23"/>
      <c r="B389" s="23"/>
      <c r="C389" s="5" t="s">
        <v>367</v>
      </c>
      <c r="D389" s="182">
        <v>0.004</v>
      </c>
      <c r="E389" s="315" t="s">
        <v>1226</v>
      </c>
      <c r="F389" s="317" t="s">
        <v>1227</v>
      </c>
      <c r="G389" s="90"/>
      <c r="H389" s="187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320">
        <v>0.004</v>
      </c>
      <c r="T389" s="159">
        <f t="shared" si="29"/>
        <v>0</v>
      </c>
      <c r="U389" s="161"/>
      <c r="V389" s="162"/>
      <c r="W389" s="255"/>
      <c r="X389" s="32"/>
      <c r="Y389" s="32"/>
      <c r="Z389" s="32"/>
      <c r="AA389" s="32"/>
      <c r="AB389" s="32">
        <v>0.004</v>
      </c>
      <c r="AC389" s="32">
        <f t="shared" si="26"/>
        <v>0</v>
      </c>
      <c r="AD389" s="33"/>
      <c r="AE389" s="33">
        <f t="shared" si="27"/>
        <v>0.004</v>
      </c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>
        <f t="shared" si="28"/>
        <v>0</v>
      </c>
    </row>
    <row r="390" spans="1:49" ht="12.75">
      <c r="A390" s="23"/>
      <c r="B390" s="23"/>
      <c r="C390" s="5" t="s">
        <v>1219</v>
      </c>
      <c r="D390" s="182">
        <v>1.506</v>
      </c>
      <c r="E390" s="315" t="s">
        <v>1236</v>
      </c>
      <c r="F390" s="317" t="s">
        <v>1227</v>
      </c>
      <c r="G390" s="12"/>
      <c r="H390" s="187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320">
        <v>1.506</v>
      </c>
      <c r="T390" s="159">
        <f t="shared" si="29"/>
        <v>0</v>
      </c>
      <c r="U390" s="162"/>
      <c r="V390" s="162"/>
      <c r="W390" s="255"/>
      <c r="X390" s="32"/>
      <c r="Y390" s="32"/>
      <c r="Z390" s="32"/>
      <c r="AA390" s="32"/>
      <c r="AB390" s="32"/>
      <c r="AC390" s="32">
        <f aca="true" t="shared" si="32" ref="AC390:AC396">SUM(AG390:AV390)</f>
        <v>1.506</v>
      </c>
      <c r="AE390" s="33">
        <f aca="true" t="shared" si="33" ref="AE390:AE396">SUM(X390:AD390)</f>
        <v>1.506</v>
      </c>
      <c r="AG390" s="33"/>
      <c r="AH390" s="33"/>
      <c r="AI390" s="33"/>
      <c r="AJ390" s="33">
        <v>1.506</v>
      </c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>
        <f aca="true" t="shared" si="34" ref="AW390:AW396">SUM(AG390:AV390)</f>
        <v>1.506</v>
      </c>
    </row>
    <row r="391" spans="1:49" ht="12.75">
      <c r="A391" s="23"/>
      <c r="B391" s="23"/>
      <c r="C391" s="5" t="s">
        <v>1220</v>
      </c>
      <c r="D391" s="182">
        <v>0.23</v>
      </c>
      <c r="E391" s="315" t="s">
        <v>1236</v>
      </c>
      <c r="F391" s="317" t="s">
        <v>1238</v>
      </c>
      <c r="G391" s="12"/>
      <c r="H391" s="187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320">
        <v>0.23</v>
      </c>
      <c r="T391" s="159">
        <f t="shared" si="29"/>
        <v>0</v>
      </c>
      <c r="U391" s="162"/>
      <c r="V391" s="162"/>
      <c r="W391" s="255"/>
      <c r="X391" s="32"/>
      <c r="Y391" s="32"/>
      <c r="Z391" s="32"/>
      <c r="AA391" s="32"/>
      <c r="AB391" s="32"/>
      <c r="AC391" s="32">
        <f t="shared" si="32"/>
        <v>0.23</v>
      </c>
      <c r="AE391" s="33">
        <f t="shared" si="33"/>
        <v>0.23</v>
      </c>
      <c r="AG391" s="33"/>
      <c r="AH391" s="33"/>
      <c r="AI391" s="33"/>
      <c r="AJ391" s="33">
        <v>0.23</v>
      </c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>
        <f t="shared" si="34"/>
        <v>0.23</v>
      </c>
    </row>
    <row r="392" spans="1:49" ht="12.75">
      <c r="A392" s="23"/>
      <c r="B392" s="23"/>
      <c r="C392" s="5" t="s">
        <v>1221</v>
      </c>
      <c r="D392" s="182">
        <v>0.235</v>
      </c>
      <c r="E392" s="315" t="s">
        <v>1226</v>
      </c>
      <c r="F392" s="317" t="s">
        <v>1227</v>
      </c>
      <c r="G392" s="90"/>
      <c r="H392" s="187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320">
        <v>0.235</v>
      </c>
      <c r="T392" s="159">
        <f t="shared" si="29"/>
        <v>0</v>
      </c>
      <c r="U392" s="161">
        <f>IF(SUM(H392:S392)-D392=0,"","adjust profile")</f>
      </c>
      <c r="V392" s="162"/>
      <c r="W392" s="255" t="s">
        <v>400</v>
      </c>
      <c r="X392" s="32"/>
      <c r="Y392" s="32"/>
      <c r="Z392" s="32"/>
      <c r="AA392" s="32"/>
      <c r="AB392" s="32"/>
      <c r="AC392" s="32">
        <f t="shared" si="32"/>
        <v>0.235</v>
      </c>
      <c r="AD392" s="33"/>
      <c r="AE392" s="33">
        <f t="shared" si="33"/>
        <v>0.235</v>
      </c>
      <c r="AF392" s="29">
        <f>IF(D392-AE392&lt;&gt;0,"here","")</f>
      </c>
      <c r="AG392" s="33"/>
      <c r="AH392" s="33"/>
      <c r="AI392" s="33"/>
      <c r="AJ392" s="33">
        <v>0.235</v>
      </c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>
        <f t="shared" si="34"/>
        <v>0.235</v>
      </c>
    </row>
    <row r="393" spans="1:49" ht="12.75">
      <c r="A393" s="23"/>
      <c r="B393" s="23"/>
      <c r="C393" s="5" t="s">
        <v>1222</v>
      </c>
      <c r="D393" s="182">
        <v>0.129</v>
      </c>
      <c r="E393" s="315" t="s">
        <v>1226</v>
      </c>
      <c r="F393" s="317" t="s">
        <v>1239</v>
      </c>
      <c r="G393" s="12"/>
      <c r="H393" s="187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320">
        <v>0.129</v>
      </c>
      <c r="T393" s="159">
        <f t="shared" si="29"/>
        <v>0</v>
      </c>
      <c r="U393" s="162"/>
      <c r="V393" s="162"/>
      <c r="W393" s="255"/>
      <c r="X393" s="32"/>
      <c r="Y393" s="32"/>
      <c r="Z393" s="32"/>
      <c r="AA393" s="32"/>
      <c r="AB393" s="32"/>
      <c r="AC393" s="32">
        <f t="shared" si="32"/>
        <v>0.129</v>
      </c>
      <c r="AE393" s="33">
        <f t="shared" si="33"/>
        <v>0.129</v>
      </c>
      <c r="AG393" s="33"/>
      <c r="AH393" s="33"/>
      <c r="AI393" s="33"/>
      <c r="AJ393" s="33">
        <v>0.129</v>
      </c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>
        <f t="shared" si="34"/>
        <v>0.129</v>
      </c>
    </row>
    <row r="394" spans="1:49" ht="12.75">
      <c r="A394" s="23"/>
      <c r="B394" s="23"/>
      <c r="C394" s="5" t="s">
        <v>1223</v>
      </c>
      <c r="D394" s="182">
        <v>0.5</v>
      </c>
      <c r="E394" s="315" t="s">
        <v>1237</v>
      </c>
      <c r="F394" s="317" t="s">
        <v>1227</v>
      </c>
      <c r="G394" s="12"/>
      <c r="H394" s="187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320">
        <v>0.5</v>
      </c>
      <c r="T394" s="159">
        <f t="shared" si="29"/>
        <v>0</v>
      </c>
      <c r="U394" s="162"/>
      <c r="V394" s="162"/>
      <c r="W394" s="255"/>
      <c r="X394" s="32"/>
      <c r="Y394" s="32"/>
      <c r="Z394" s="32"/>
      <c r="AA394" s="32"/>
      <c r="AB394" s="32"/>
      <c r="AC394" s="32">
        <f t="shared" si="32"/>
        <v>0.5</v>
      </c>
      <c r="AE394" s="33">
        <f t="shared" si="33"/>
        <v>0.5</v>
      </c>
      <c r="AG394" s="33"/>
      <c r="AH394" s="33"/>
      <c r="AI394" s="33"/>
      <c r="AJ394" s="33">
        <v>0.5</v>
      </c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>
        <f t="shared" si="34"/>
        <v>0.5</v>
      </c>
    </row>
    <row r="395" spans="1:49" ht="12.75">
      <c r="A395" s="23"/>
      <c r="B395" s="23"/>
      <c r="C395" s="5" t="s">
        <v>1225</v>
      </c>
      <c r="D395" s="182">
        <v>0.5</v>
      </c>
      <c r="E395" s="315" t="s">
        <v>1226</v>
      </c>
      <c r="F395" s="317" t="s">
        <v>1227</v>
      </c>
      <c r="G395" s="12"/>
      <c r="H395" s="187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320">
        <v>0.5</v>
      </c>
      <c r="T395" s="159">
        <f t="shared" si="29"/>
        <v>0</v>
      </c>
      <c r="U395" s="162"/>
      <c r="V395" s="162"/>
      <c r="W395" s="255"/>
      <c r="X395" s="32"/>
      <c r="Y395" s="32"/>
      <c r="Z395" s="32"/>
      <c r="AA395" s="32"/>
      <c r="AB395" s="32"/>
      <c r="AC395" s="32">
        <f t="shared" si="32"/>
        <v>0.5</v>
      </c>
      <c r="AE395" s="33">
        <f t="shared" si="33"/>
        <v>0.5</v>
      </c>
      <c r="AG395" s="33"/>
      <c r="AH395" s="33"/>
      <c r="AI395" s="33"/>
      <c r="AJ395" s="33">
        <v>0.5</v>
      </c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>
        <f t="shared" si="34"/>
        <v>0.5</v>
      </c>
    </row>
    <row r="396" spans="1:49" ht="12.75">
      <c r="A396" s="23"/>
      <c r="B396" s="23"/>
      <c r="C396" s="5" t="s">
        <v>1224</v>
      </c>
      <c r="D396" s="182">
        <v>0.5</v>
      </c>
      <c r="E396" s="315" t="s">
        <v>1226</v>
      </c>
      <c r="F396" s="317" t="s">
        <v>1227</v>
      </c>
      <c r="G396" s="12"/>
      <c r="H396" s="187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320">
        <v>0.5</v>
      </c>
      <c r="T396" s="159">
        <f t="shared" si="29"/>
        <v>0</v>
      </c>
      <c r="U396" s="162"/>
      <c r="V396" s="162"/>
      <c r="W396" s="255"/>
      <c r="X396" s="32"/>
      <c r="Y396" s="32"/>
      <c r="Z396" s="32"/>
      <c r="AA396" s="32"/>
      <c r="AB396" s="32"/>
      <c r="AC396" s="32">
        <f t="shared" si="32"/>
        <v>0.5</v>
      </c>
      <c r="AE396" s="33">
        <f t="shared" si="33"/>
        <v>0.5</v>
      </c>
      <c r="AG396" s="33"/>
      <c r="AH396" s="33"/>
      <c r="AI396" s="33"/>
      <c r="AJ396" s="33">
        <v>0.5</v>
      </c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>
        <f t="shared" si="34"/>
        <v>0.5</v>
      </c>
    </row>
    <row r="397" spans="1:49" ht="12.75">
      <c r="A397" s="23"/>
      <c r="B397" s="23"/>
      <c r="C397" s="47" t="s">
        <v>176</v>
      </c>
      <c r="D397" s="182">
        <f>0.2-0.062-0.009</f>
        <v>0.129</v>
      </c>
      <c r="E397" s="315" t="s">
        <v>1226</v>
      </c>
      <c r="F397" s="317" t="s">
        <v>1234</v>
      </c>
      <c r="G397" s="90">
        <v>0.032</v>
      </c>
      <c r="H397" s="187">
        <v>0.025</v>
      </c>
      <c r="I397" s="184">
        <v>0.025</v>
      </c>
      <c r="J397" s="184">
        <v>0.025</v>
      </c>
      <c r="K397" s="184">
        <v>0.025</v>
      </c>
      <c r="L397" s="184">
        <v>0.029</v>
      </c>
      <c r="M397" s="184"/>
      <c r="N397" s="184"/>
      <c r="O397" s="184"/>
      <c r="P397" s="184"/>
      <c r="Q397" s="184"/>
      <c r="R397" s="184"/>
      <c r="S397" s="320"/>
      <c r="T397" s="159">
        <f t="shared" si="29"/>
        <v>0.05</v>
      </c>
      <c r="U397" s="161">
        <f>IF(SUM(H397:S397)-D397=0,"","adjust profile")</f>
      </c>
      <c r="V397" s="162"/>
      <c r="W397" s="255"/>
      <c r="X397" s="32"/>
      <c r="Y397" s="32"/>
      <c r="Z397" s="32"/>
      <c r="AA397" s="32"/>
      <c r="AC397" s="32">
        <f>SUM(AG397:AV397)</f>
        <v>0.129</v>
      </c>
      <c r="AD397" s="33"/>
      <c r="AE397" s="33">
        <f>SUM(X397:AD397)</f>
        <v>0.129</v>
      </c>
      <c r="AF397" s="29">
        <f>IF(D397-AE397&lt;&gt;0,"here","")</f>
      </c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>
        <f>0.2-0.062-0.009</f>
        <v>0.129</v>
      </c>
      <c r="AW397" s="33">
        <f>SUM(AG397:AV397)</f>
        <v>0.129</v>
      </c>
    </row>
    <row r="398" spans="1:49" ht="12.75">
      <c r="A398" s="23"/>
      <c r="B398" s="23"/>
      <c r="C398" s="47" t="s">
        <v>363</v>
      </c>
      <c r="D398" s="182">
        <v>0.01</v>
      </c>
      <c r="E398" s="315" t="s">
        <v>1226</v>
      </c>
      <c r="F398" s="317" t="s">
        <v>1235</v>
      </c>
      <c r="G398" s="90">
        <v>0.028</v>
      </c>
      <c r="H398" s="187">
        <v>0.002</v>
      </c>
      <c r="I398" s="184">
        <v>0.002</v>
      </c>
      <c r="J398" s="184">
        <v>0.002</v>
      </c>
      <c r="K398" s="184">
        <v>0.002</v>
      </c>
      <c r="L398" s="184">
        <v>0.002</v>
      </c>
      <c r="M398" s="184"/>
      <c r="N398" s="184"/>
      <c r="O398" s="184"/>
      <c r="P398" s="184"/>
      <c r="Q398" s="184"/>
      <c r="R398" s="184"/>
      <c r="S398" s="320"/>
      <c r="T398" s="159">
        <f t="shared" si="29"/>
        <v>0.004</v>
      </c>
      <c r="U398" s="161">
        <f>IF(SUM(H398:S398)-D398=0,"","adjust profile")</f>
      </c>
      <c r="V398" s="162"/>
      <c r="W398" s="255"/>
      <c r="X398" s="32"/>
      <c r="Y398" s="32"/>
      <c r="Z398" s="32"/>
      <c r="AA398" s="32"/>
      <c r="AC398" s="32">
        <f>SUM(AG398:AV398)</f>
        <v>0.01</v>
      </c>
      <c r="AD398" s="33"/>
      <c r="AE398" s="33">
        <f>SUM(X398:AD398)</f>
        <v>0.01</v>
      </c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>
        <v>0.01</v>
      </c>
      <c r="AW398" s="33">
        <f>SUM(AG398:AV398)</f>
        <v>0.01</v>
      </c>
    </row>
    <row r="399" spans="1:49" ht="13.5" thickBot="1">
      <c r="A399" s="23"/>
      <c r="B399" s="23"/>
      <c r="C399" s="47" t="s">
        <v>399</v>
      </c>
      <c r="D399" s="182">
        <v>0.002</v>
      </c>
      <c r="E399" s="318" t="s">
        <v>1226</v>
      </c>
      <c r="F399" s="319" t="s">
        <v>1227</v>
      </c>
      <c r="G399" s="90"/>
      <c r="H399" s="326"/>
      <c r="I399" s="327"/>
      <c r="J399" s="327"/>
      <c r="K399" s="327"/>
      <c r="L399" s="327"/>
      <c r="M399" s="327"/>
      <c r="N399" s="327"/>
      <c r="O399" s="327"/>
      <c r="P399" s="327"/>
      <c r="Q399" s="327"/>
      <c r="R399" s="327"/>
      <c r="S399" s="328">
        <v>0.002</v>
      </c>
      <c r="T399" s="159">
        <f t="shared" si="29"/>
        <v>0</v>
      </c>
      <c r="U399" s="161"/>
      <c r="V399" s="162"/>
      <c r="W399" s="255"/>
      <c r="X399" s="32"/>
      <c r="Y399" s="32"/>
      <c r="Z399" s="32"/>
      <c r="AA399" s="32">
        <v>0.002</v>
      </c>
      <c r="AC399" s="32">
        <f>SUM(AG399:AV399)</f>
        <v>0</v>
      </c>
      <c r="AD399" s="33"/>
      <c r="AE399" s="33">
        <f>SUM(X399:AD399)</f>
        <v>0.002</v>
      </c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>
        <f>SUM(AG399:AV399)</f>
        <v>0</v>
      </c>
    </row>
    <row r="400" spans="3:49" ht="13.5" thickBot="1">
      <c r="C400" s="7" t="s">
        <v>247</v>
      </c>
      <c r="D400" s="21">
        <f>SUM(D374:D399)</f>
        <v>15.087999999999997</v>
      </c>
      <c r="E400" s="280"/>
      <c r="F400" s="281"/>
      <c r="G400" s="21">
        <f>SUM(G374:G399)</f>
        <v>0.548</v>
      </c>
      <c r="H400" s="91">
        <f>SUM(H374:H399)</f>
        <v>0.5640000000000001</v>
      </c>
      <c r="I400" s="24">
        <f>SUM(I374:I399)</f>
        <v>0.5650000000000001</v>
      </c>
      <c r="J400" s="24">
        <f aca="true" t="shared" si="35" ref="J400:R400">SUM(J374:J399)</f>
        <v>0.5710000000000001</v>
      </c>
      <c r="K400" s="24">
        <f t="shared" si="35"/>
        <v>0.5650000000000001</v>
      </c>
      <c r="L400" s="24">
        <f t="shared" si="35"/>
        <v>0.687</v>
      </c>
      <c r="M400" s="24">
        <f t="shared" si="35"/>
        <v>1.1709999999999996</v>
      </c>
      <c r="N400" s="24">
        <f t="shared" si="35"/>
        <v>1.1719999999999997</v>
      </c>
      <c r="O400" s="24">
        <f t="shared" si="35"/>
        <v>1.1709999999999996</v>
      </c>
      <c r="P400" s="24">
        <f t="shared" si="35"/>
        <v>1.1719999999999997</v>
      </c>
      <c r="Q400" s="24">
        <f t="shared" si="35"/>
        <v>1.1709999999999996</v>
      </c>
      <c r="R400" s="24">
        <f t="shared" si="35"/>
        <v>1.1729999999999996</v>
      </c>
      <c r="S400" s="24">
        <f>SUM(S374:S399)</f>
        <v>5.105999999999999</v>
      </c>
      <c r="T400" s="206">
        <f>SUM(T374:T399)</f>
        <v>1.1290000000000002</v>
      </c>
      <c r="U400" s="161">
        <f>IF(SUM(H400:S400)-D400=0,"","adjust profile")</f>
      </c>
      <c r="V400" s="162"/>
      <c r="W400" s="255"/>
      <c r="X400" s="26">
        <f aca="true" t="shared" si="36" ref="X400:AE400">SUM(X374:X399)</f>
        <v>0.8230000000000001</v>
      </c>
      <c r="Y400" s="26">
        <f t="shared" si="36"/>
        <v>0</v>
      </c>
      <c r="Z400" s="26">
        <f t="shared" si="36"/>
        <v>0</v>
      </c>
      <c r="AA400" s="26">
        <f t="shared" si="36"/>
        <v>0.002</v>
      </c>
      <c r="AB400" s="26">
        <f t="shared" si="36"/>
        <v>3.9740000000000006</v>
      </c>
      <c r="AC400" s="26">
        <f t="shared" si="36"/>
        <v>10.228</v>
      </c>
      <c r="AD400" s="26">
        <f t="shared" si="36"/>
        <v>0.061</v>
      </c>
      <c r="AE400" s="26">
        <f t="shared" si="36"/>
        <v>15.088</v>
      </c>
      <c r="AG400" s="35">
        <f aca="true" t="shared" si="37" ref="AG400:AW400">SUM(AG374:AG399)</f>
        <v>0</v>
      </c>
      <c r="AH400" s="35">
        <f t="shared" si="37"/>
        <v>0</v>
      </c>
      <c r="AI400" s="35">
        <f t="shared" si="37"/>
        <v>3.562</v>
      </c>
      <c r="AJ400" s="35">
        <f t="shared" si="37"/>
        <v>3.725</v>
      </c>
      <c r="AK400" s="35">
        <f t="shared" si="37"/>
        <v>0</v>
      </c>
      <c r="AL400" s="35">
        <f t="shared" si="37"/>
        <v>2.606</v>
      </c>
      <c r="AM400" s="35">
        <f t="shared" si="37"/>
        <v>0.103</v>
      </c>
      <c r="AN400" s="35">
        <f t="shared" si="37"/>
        <v>0</v>
      </c>
      <c r="AO400" s="35">
        <f t="shared" si="37"/>
        <v>0</v>
      </c>
      <c r="AP400" s="35">
        <f t="shared" si="37"/>
        <v>0</v>
      </c>
      <c r="AQ400" s="35">
        <f t="shared" si="37"/>
        <v>0</v>
      </c>
      <c r="AR400" s="35">
        <f t="shared" si="37"/>
        <v>0</v>
      </c>
      <c r="AS400" s="35">
        <f t="shared" si="37"/>
        <v>0</v>
      </c>
      <c r="AT400" s="35">
        <f t="shared" si="37"/>
        <v>0</v>
      </c>
      <c r="AU400" s="35">
        <f t="shared" si="37"/>
        <v>0</v>
      </c>
      <c r="AV400" s="35">
        <f t="shared" si="37"/>
        <v>0.232</v>
      </c>
      <c r="AW400" s="35">
        <f t="shared" si="37"/>
        <v>10.228</v>
      </c>
    </row>
    <row r="401" spans="3:49" ht="12.75">
      <c r="C401" s="5"/>
      <c r="D401" s="5"/>
      <c r="E401" s="282"/>
      <c r="F401" s="284"/>
      <c r="G401" s="168"/>
      <c r="H401" s="86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90"/>
      <c r="T401" s="90"/>
      <c r="U401" s="161">
        <f>IF(SUM(H401:S401)-D401=0,"","adjust profile")</f>
      </c>
      <c r="V401" s="162"/>
      <c r="W401" s="255"/>
      <c r="X401" s="32"/>
      <c r="Y401" s="32"/>
      <c r="Z401" s="32"/>
      <c r="AA401" s="32"/>
      <c r="AB401" s="32"/>
      <c r="AC401" s="32"/>
      <c r="AD401" s="33"/>
      <c r="AE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</row>
    <row r="402" spans="3:49" ht="12.75">
      <c r="C402" s="7" t="s">
        <v>228</v>
      </c>
      <c r="D402" s="5"/>
      <c r="E402" s="282"/>
      <c r="F402" s="284"/>
      <c r="G402" s="168"/>
      <c r="H402" s="86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90"/>
      <c r="T402" s="90"/>
      <c r="U402" s="161">
        <f>IF(SUM(H402:S402)-D402=0,"","adjust profile")</f>
      </c>
      <c r="V402" s="162"/>
      <c r="W402" s="255"/>
      <c r="X402" s="32"/>
      <c r="Y402" s="32"/>
      <c r="Z402" s="32"/>
      <c r="AA402" s="32"/>
      <c r="AB402" s="32"/>
      <c r="AC402" s="32"/>
      <c r="AD402" s="33"/>
      <c r="AE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>
        <f>SUM(AG402:AV402)</f>
        <v>0</v>
      </c>
    </row>
    <row r="403" spans="3:49" ht="12.75">
      <c r="C403" s="7"/>
      <c r="E403" s="282"/>
      <c r="F403" s="284"/>
      <c r="G403" s="248"/>
      <c r="H403" s="86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90"/>
      <c r="T403" s="90"/>
      <c r="U403" s="161"/>
      <c r="V403" s="162"/>
      <c r="W403" s="255"/>
      <c r="X403" s="32"/>
      <c r="Y403" s="32"/>
      <c r="Z403" s="32"/>
      <c r="AA403" s="32"/>
      <c r="AB403" s="32"/>
      <c r="AC403" s="32"/>
      <c r="AD403" s="33"/>
      <c r="AE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</row>
    <row r="404" spans="1:49" ht="12" customHeight="1">
      <c r="A404" s="189" t="s">
        <v>299</v>
      </c>
      <c r="B404" s="29" t="s">
        <v>124</v>
      </c>
      <c r="C404" s="5" t="s">
        <v>125</v>
      </c>
      <c r="D404" s="9">
        <v>0.075</v>
      </c>
      <c r="E404" s="294">
        <v>33239</v>
      </c>
      <c r="F404" s="295">
        <v>33664</v>
      </c>
      <c r="G404" s="9"/>
      <c r="H404" s="86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>
        <v>0.075</v>
      </c>
      <c r="T404" s="159">
        <f aca="true" t="shared" si="38" ref="T404:T467">SUM(H404:I404)</f>
        <v>0</v>
      </c>
      <c r="U404" s="161">
        <f>IF(SUM(H404:S404)-D404=0,"","adjust profile")</f>
      </c>
      <c r="V404" s="162"/>
      <c r="W404" s="255"/>
      <c r="X404" s="32"/>
      <c r="Y404" s="32"/>
      <c r="Z404" s="32"/>
      <c r="AA404" s="32"/>
      <c r="AB404" s="32"/>
      <c r="AC404" s="32"/>
      <c r="AD404" s="33"/>
      <c r="AE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</row>
    <row r="405" spans="1:49" ht="12.75">
      <c r="A405" s="189" t="s">
        <v>299</v>
      </c>
      <c r="B405" s="29" t="s">
        <v>308</v>
      </c>
      <c r="C405" s="5" t="s">
        <v>266</v>
      </c>
      <c r="D405" s="5">
        <v>8.283</v>
      </c>
      <c r="E405" s="282">
        <v>38018</v>
      </c>
      <c r="F405" s="295">
        <v>38596</v>
      </c>
      <c r="G405" s="9">
        <v>0.757</v>
      </c>
      <c r="H405" s="86">
        <v>0.7</v>
      </c>
      <c r="I405" s="12"/>
      <c r="J405" s="12">
        <v>0.93</v>
      </c>
      <c r="K405" s="12">
        <v>0.93</v>
      </c>
      <c r="L405" s="12">
        <v>0.93</v>
      </c>
      <c r="M405" s="12">
        <v>0.93</v>
      </c>
      <c r="N405" s="12">
        <v>0.93</v>
      </c>
      <c r="O405" s="12">
        <v>0.93</v>
      </c>
      <c r="P405" s="12"/>
      <c r="Q405" s="12"/>
      <c r="R405" s="12"/>
      <c r="S405" s="12">
        <v>2</v>
      </c>
      <c r="T405" s="159">
        <f t="shared" si="38"/>
        <v>0.7</v>
      </c>
      <c r="U405" s="161" t="str">
        <f>IF(SUM(H405:S405)-D405=0,"","adjust profile")</f>
        <v>adjust profile</v>
      </c>
      <c r="V405" s="162"/>
      <c r="W405" s="255"/>
      <c r="X405" s="32">
        <f>0.209-0.209</f>
        <v>0</v>
      </c>
      <c r="Y405" s="32">
        <v>1.732</v>
      </c>
      <c r="Z405" s="32"/>
      <c r="AA405" s="32"/>
      <c r="AB405" s="32"/>
      <c r="AC405" s="32">
        <f>SUM(AG405:AV405)</f>
        <v>6.482</v>
      </c>
      <c r="AD405" s="33"/>
      <c r="AE405" s="33">
        <f>SUM(X405:AD405)</f>
        <v>8.214</v>
      </c>
      <c r="AG405" s="33">
        <f>6.146+0.336</f>
        <v>6.482</v>
      </c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>
        <f>SUM(AG405:AV405)</f>
        <v>6.482</v>
      </c>
    </row>
    <row r="406" spans="1:49" ht="12.75">
      <c r="A406" s="189" t="s">
        <v>299</v>
      </c>
      <c r="B406" s="29" t="s">
        <v>309</v>
      </c>
      <c r="C406" s="5" t="s">
        <v>290</v>
      </c>
      <c r="D406" s="5">
        <v>2.549</v>
      </c>
      <c r="E406" s="282">
        <v>36923</v>
      </c>
      <c r="F406" s="295">
        <v>38292</v>
      </c>
      <c r="G406" s="9">
        <v>0.047</v>
      </c>
      <c r="H406" s="12"/>
      <c r="I406" s="12"/>
      <c r="J406" s="12"/>
      <c r="K406" s="12"/>
      <c r="L406" s="12"/>
      <c r="M406" s="12">
        <v>2.549</v>
      </c>
      <c r="N406" s="12"/>
      <c r="O406" s="12"/>
      <c r="P406" s="12"/>
      <c r="Q406" s="12"/>
      <c r="R406" s="12"/>
      <c r="S406" s="12"/>
      <c r="T406" s="159">
        <f t="shared" si="38"/>
        <v>0</v>
      </c>
      <c r="U406" s="161"/>
      <c r="V406" s="162"/>
      <c r="W406" s="255"/>
      <c r="X406" s="32"/>
      <c r="Y406" s="32"/>
      <c r="Z406" s="32"/>
      <c r="AA406" s="32"/>
      <c r="AB406" s="32"/>
      <c r="AC406" s="32">
        <f>SUM(AG406:AV406)</f>
        <v>2.527</v>
      </c>
      <c r="AD406" s="33"/>
      <c r="AE406" s="33">
        <f>SUM(Y406:AD406)</f>
        <v>2.527</v>
      </c>
      <c r="AG406" s="33">
        <f>1.332+1.195</f>
        <v>2.527</v>
      </c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>
        <f>SUM(AG406:AV406)</f>
        <v>2.527</v>
      </c>
    </row>
    <row r="407" spans="1:49" ht="12.75" customHeight="1" hidden="1">
      <c r="A407" s="110"/>
      <c r="B407" s="243" t="s">
        <v>490</v>
      </c>
      <c r="C407" s="249" t="s">
        <v>491</v>
      </c>
      <c r="D407" s="29">
        <v>0.1</v>
      </c>
      <c r="E407" s="296">
        <v>38443</v>
      </c>
      <c r="F407" s="297">
        <v>38777</v>
      </c>
      <c r="G407" s="9"/>
      <c r="H407" s="86" t="s">
        <v>604</v>
      </c>
      <c r="I407" s="12">
        <v>0.009</v>
      </c>
      <c r="J407" s="12">
        <v>0.009</v>
      </c>
      <c r="K407" s="12">
        <v>0.009</v>
      </c>
      <c r="L407" s="12">
        <v>0.009</v>
      </c>
      <c r="M407" s="12">
        <v>0.009</v>
      </c>
      <c r="N407" s="12">
        <v>0.009</v>
      </c>
      <c r="O407" s="12">
        <v>0.009</v>
      </c>
      <c r="P407" s="12">
        <v>0.009</v>
      </c>
      <c r="Q407" s="12">
        <v>0.009</v>
      </c>
      <c r="R407" s="12">
        <v>0.009</v>
      </c>
      <c r="S407" s="90">
        <v>0.009</v>
      </c>
      <c r="T407" s="159">
        <f t="shared" si="38"/>
        <v>0.009</v>
      </c>
      <c r="U407" s="161"/>
      <c r="V407" s="162"/>
      <c r="W407" s="255"/>
      <c r="X407" s="32"/>
      <c r="Y407" s="32"/>
      <c r="Z407" s="32"/>
      <c r="AA407" s="32"/>
      <c r="AB407" s="32"/>
      <c r="AC407" s="32"/>
      <c r="AD407" s="33"/>
      <c r="AE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</row>
    <row r="408" spans="1:49" ht="12.75" hidden="1">
      <c r="A408" s="110"/>
      <c r="B408" s="243" t="s">
        <v>492</v>
      </c>
      <c r="C408" s="249" t="s">
        <v>493</v>
      </c>
      <c r="D408" s="29">
        <v>0.02</v>
      </c>
      <c r="E408" s="296">
        <v>38443</v>
      </c>
      <c r="F408" s="297">
        <v>38777</v>
      </c>
      <c r="G408" s="9">
        <v>0.009</v>
      </c>
      <c r="H408" s="86" t="s">
        <v>604</v>
      </c>
      <c r="I408" s="12">
        <v>0.002</v>
      </c>
      <c r="J408" s="12">
        <v>0.002</v>
      </c>
      <c r="K408" s="12">
        <v>0.002</v>
      </c>
      <c r="L408" s="12">
        <v>0.002</v>
      </c>
      <c r="M408" s="12">
        <v>0.002</v>
      </c>
      <c r="N408" s="12">
        <v>0.002</v>
      </c>
      <c r="O408" s="12">
        <v>0.002</v>
      </c>
      <c r="P408" s="12">
        <v>0.002</v>
      </c>
      <c r="Q408" s="12">
        <v>0.002</v>
      </c>
      <c r="R408" s="12">
        <v>0.002</v>
      </c>
      <c r="S408" s="90"/>
      <c r="T408" s="159">
        <f t="shared" si="38"/>
        <v>0.002</v>
      </c>
      <c r="U408" s="161"/>
      <c r="V408" s="162"/>
      <c r="W408" s="255"/>
      <c r="X408" s="32"/>
      <c r="Y408" s="32"/>
      <c r="Z408" s="32"/>
      <c r="AA408" s="32"/>
      <c r="AB408" s="32"/>
      <c r="AC408" s="32"/>
      <c r="AD408" s="33"/>
      <c r="AE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</row>
    <row r="409" spans="1:49" ht="12.75" hidden="1">
      <c r="A409" s="110"/>
      <c r="B409" s="243" t="s">
        <v>494</v>
      </c>
      <c r="C409" s="249" t="s">
        <v>495</v>
      </c>
      <c r="D409" s="29">
        <v>0.015</v>
      </c>
      <c r="E409" s="296">
        <v>38443</v>
      </c>
      <c r="F409" s="297">
        <v>38777</v>
      </c>
      <c r="G409" s="9"/>
      <c r="H409" s="86" t="s">
        <v>604</v>
      </c>
      <c r="I409" s="12">
        <v>0.001</v>
      </c>
      <c r="J409" s="12">
        <v>0.001</v>
      </c>
      <c r="K409" s="12">
        <v>0.001</v>
      </c>
      <c r="L409" s="12">
        <v>0.001</v>
      </c>
      <c r="M409" s="12">
        <v>0.001</v>
      </c>
      <c r="N409" s="12">
        <v>0.001</v>
      </c>
      <c r="O409" s="12">
        <v>0.001</v>
      </c>
      <c r="P409" s="12">
        <v>0.001</v>
      </c>
      <c r="Q409" s="12">
        <v>0.001</v>
      </c>
      <c r="R409" s="12">
        <v>0.001</v>
      </c>
      <c r="S409" s="90">
        <v>0.001</v>
      </c>
      <c r="T409" s="159">
        <f t="shared" si="38"/>
        <v>0.001</v>
      </c>
      <c r="U409" s="161"/>
      <c r="V409" s="162"/>
      <c r="W409" s="255"/>
      <c r="X409" s="32"/>
      <c r="Y409" s="32"/>
      <c r="Z409" s="32"/>
      <c r="AA409" s="32"/>
      <c r="AB409" s="32"/>
      <c r="AC409" s="32"/>
      <c r="AD409" s="33"/>
      <c r="AE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</row>
    <row r="410" spans="1:49" ht="12.75" hidden="1">
      <c r="A410" s="111"/>
      <c r="B410" s="243" t="s">
        <v>496</v>
      </c>
      <c r="C410" s="249" t="s">
        <v>497</v>
      </c>
      <c r="D410" s="29">
        <v>0.005</v>
      </c>
      <c r="E410" s="296">
        <v>38443</v>
      </c>
      <c r="F410" s="297">
        <v>38777</v>
      </c>
      <c r="G410" s="9"/>
      <c r="H410" s="86" t="s">
        <v>604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90">
        <v>0</v>
      </c>
      <c r="T410" s="159">
        <f t="shared" si="38"/>
        <v>0</v>
      </c>
      <c r="U410" s="161"/>
      <c r="V410" s="162"/>
      <c r="W410" s="255"/>
      <c r="X410" s="32"/>
      <c r="Y410" s="32"/>
      <c r="Z410" s="32"/>
      <c r="AA410" s="32"/>
      <c r="AB410" s="32"/>
      <c r="AC410" s="32"/>
      <c r="AD410" s="33"/>
      <c r="AE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</row>
    <row r="411" spans="1:49" ht="12.75" hidden="1">
      <c r="A411" s="111"/>
      <c r="B411" s="243" t="s">
        <v>498</v>
      </c>
      <c r="C411" s="249" t="s">
        <v>499</v>
      </c>
      <c r="D411" s="29">
        <v>0.05</v>
      </c>
      <c r="E411" s="296">
        <v>38477</v>
      </c>
      <c r="F411" s="297">
        <v>38538</v>
      </c>
      <c r="G411" s="9"/>
      <c r="H411" s="86" t="s">
        <v>604</v>
      </c>
      <c r="I411" s="12" t="s">
        <v>604</v>
      </c>
      <c r="J411" s="12">
        <v>0.025</v>
      </c>
      <c r="K411" s="12">
        <v>0.025</v>
      </c>
      <c r="L411" s="12"/>
      <c r="M411" s="12"/>
      <c r="N411" s="12"/>
      <c r="O411" s="12"/>
      <c r="P411" s="12"/>
      <c r="Q411" s="12"/>
      <c r="R411" s="12"/>
      <c r="S411" s="90"/>
      <c r="T411" s="159">
        <f t="shared" si="38"/>
        <v>0</v>
      </c>
      <c r="U411" s="161"/>
      <c r="V411" s="162"/>
      <c r="W411" s="255"/>
      <c r="X411" s="32"/>
      <c r="Y411" s="32"/>
      <c r="Z411" s="32"/>
      <c r="AA411" s="32"/>
      <c r="AB411" s="32"/>
      <c r="AC411" s="32"/>
      <c r="AD411" s="33"/>
      <c r="AE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</row>
    <row r="412" spans="1:49" ht="12.75" hidden="1">
      <c r="A412" s="111"/>
      <c r="B412" s="243" t="s">
        <v>500</v>
      </c>
      <c r="C412" s="249" t="s">
        <v>501</v>
      </c>
      <c r="D412" s="29">
        <v>0.001</v>
      </c>
      <c r="E412" s="296" t="s">
        <v>448</v>
      </c>
      <c r="F412" s="297" t="s">
        <v>448</v>
      </c>
      <c r="G412" s="9"/>
      <c r="H412" s="86" t="s">
        <v>604</v>
      </c>
      <c r="I412" s="12" t="s">
        <v>604</v>
      </c>
      <c r="J412" s="12" t="s">
        <v>604</v>
      </c>
      <c r="K412" s="12" t="s">
        <v>604</v>
      </c>
      <c r="L412" s="12" t="s">
        <v>604</v>
      </c>
      <c r="M412" s="12" t="s">
        <v>604</v>
      </c>
      <c r="N412" s="12" t="s">
        <v>604</v>
      </c>
      <c r="O412" s="12" t="s">
        <v>604</v>
      </c>
      <c r="P412" s="12" t="s">
        <v>604</v>
      </c>
      <c r="Q412" s="12" t="s">
        <v>604</v>
      </c>
      <c r="R412" s="12" t="s">
        <v>604</v>
      </c>
      <c r="S412" s="90" t="s">
        <v>604</v>
      </c>
      <c r="T412" s="159">
        <f t="shared" si="38"/>
        <v>0</v>
      </c>
      <c r="U412" s="161"/>
      <c r="V412" s="162"/>
      <c r="W412" s="255"/>
      <c r="X412" s="32"/>
      <c r="Y412" s="32"/>
      <c r="Z412" s="32"/>
      <c r="AA412" s="32"/>
      <c r="AB412" s="32"/>
      <c r="AC412" s="32"/>
      <c r="AD412" s="33"/>
      <c r="AE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</row>
    <row r="413" spans="1:49" ht="12.75" hidden="1">
      <c r="A413" s="111"/>
      <c r="B413" s="243" t="s">
        <v>502</v>
      </c>
      <c r="C413" s="249" t="s">
        <v>503</v>
      </c>
      <c r="D413" s="29">
        <v>0.04</v>
      </c>
      <c r="E413" s="296">
        <v>38596</v>
      </c>
      <c r="F413" s="297">
        <v>38657</v>
      </c>
      <c r="G413" s="9">
        <v>0.001</v>
      </c>
      <c r="H413" s="86" t="s">
        <v>604</v>
      </c>
      <c r="I413" s="12" t="s">
        <v>604</v>
      </c>
      <c r="J413" s="12" t="s">
        <v>604</v>
      </c>
      <c r="K413" s="12" t="s">
        <v>604</v>
      </c>
      <c r="L413" s="12" t="s">
        <v>604</v>
      </c>
      <c r="M413" s="12" t="s">
        <v>604</v>
      </c>
      <c r="N413" s="12"/>
      <c r="O413" s="12">
        <v>0.02</v>
      </c>
      <c r="P413" s="12">
        <v>0.02</v>
      </c>
      <c r="Q413" s="12"/>
      <c r="R413" s="12"/>
      <c r="S413" s="90"/>
      <c r="T413" s="159">
        <f t="shared" si="38"/>
        <v>0</v>
      </c>
      <c r="U413" s="161"/>
      <c r="V413" s="162"/>
      <c r="W413" s="255"/>
      <c r="X413" s="32"/>
      <c r="Y413" s="32"/>
      <c r="Z413" s="32"/>
      <c r="AA413" s="32"/>
      <c r="AB413" s="32"/>
      <c r="AC413" s="32"/>
      <c r="AD413" s="33"/>
      <c r="AE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</row>
    <row r="414" spans="1:49" ht="12.75" hidden="1">
      <c r="A414" s="111"/>
      <c r="B414" s="243" t="s">
        <v>504</v>
      </c>
      <c r="C414" s="249" t="s">
        <v>505</v>
      </c>
      <c r="D414" s="29">
        <v>0.01</v>
      </c>
      <c r="E414" s="296">
        <v>38808</v>
      </c>
      <c r="F414" s="297">
        <v>38899</v>
      </c>
      <c r="G414" s="9">
        <v>0.001</v>
      </c>
      <c r="H414" s="86" t="s">
        <v>604</v>
      </c>
      <c r="I414" s="12" t="s">
        <v>604</v>
      </c>
      <c r="J414" s="12" t="s">
        <v>604</v>
      </c>
      <c r="K414" s="12" t="s">
        <v>604</v>
      </c>
      <c r="L414" s="12" t="s">
        <v>604</v>
      </c>
      <c r="M414" s="12" t="s">
        <v>604</v>
      </c>
      <c r="N414" s="12" t="s">
        <v>604</v>
      </c>
      <c r="O414" s="12" t="s">
        <v>604</v>
      </c>
      <c r="P414" s="12" t="s">
        <v>604</v>
      </c>
      <c r="Q414" s="12" t="s">
        <v>604</v>
      </c>
      <c r="R414" s="12" t="s">
        <v>604</v>
      </c>
      <c r="S414" s="90">
        <v>0.01</v>
      </c>
      <c r="T414" s="159">
        <f t="shared" si="38"/>
        <v>0</v>
      </c>
      <c r="U414" s="161"/>
      <c r="V414" s="162"/>
      <c r="W414" s="255"/>
      <c r="X414" s="32"/>
      <c r="Y414" s="32"/>
      <c r="Z414" s="32"/>
      <c r="AA414" s="32"/>
      <c r="AB414" s="32"/>
      <c r="AC414" s="32"/>
      <c r="AD414" s="33"/>
      <c r="AE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</row>
    <row r="415" spans="1:49" ht="12.75" hidden="1">
      <c r="A415" s="111"/>
      <c r="B415" s="243" t="s">
        <v>506</v>
      </c>
      <c r="C415" s="249" t="s">
        <v>507</v>
      </c>
      <c r="D415" s="29">
        <v>0</v>
      </c>
      <c r="E415" s="296">
        <v>37956</v>
      </c>
      <c r="F415" s="297">
        <v>38047</v>
      </c>
      <c r="G415" s="9"/>
      <c r="H415" s="86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90">
        <v>0</v>
      </c>
      <c r="T415" s="159">
        <f t="shared" si="38"/>
        <v>0</v>
      </c>
      <c r="U415" s="161"/>
      <c r="V415" s="162"/>
      <c r="W415" s="255"/>
      <c r="X415" s="32"/>
      <c r="Y415" s="32"/>
      <c r="Z415" s="32"/>
      <c r="AA415" s="32"/>
      <c r="AB415" s="32"/>
      <c r="AC415" s="32"/>
      <c r="AD415" s="33"/>
      <c r="AE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</row>
    <row r="416" spans="1:49" ht="12.75" hidden="1">
      <c r="A416" s="111"/>
      <c r="B416" s="243" t="s">
        <v>508</v>
      </c>
      <c r="C416" s="249" t="s">
        <v>509</v>
      </c>
      <c r="D416" s="29">
        <v>0.002</v>
      </c>
      <c r="E416" s="296">
        <v>38869</v>
      </c>
      <c r="F416" s="297">
        <v>38961</v>
      </c>
      <c r="G416" s="9"/>
      <c r="H416" s="86" t="s">
        <v>604</v>
      </c>
      <c r="I416" s="12" t="s">
        <v>604</v>
      </c>
      <c r="J416" s="12" t="s">
        <v>604</v>
      </c>
      <c r="K416" s="12" t="s">
        <v>604</v>
      </c>
      <c r="L416" s="12" t="s">
        <v>604</v>
      </c>
      <c r="M416" s="12" t="s">
        <v>604</v>
      </c>
      <c r="N416" s="12" t="s">
        <v>604</v>
      </c>
      <c r="O416" s="12" t="s">
        <v>604</v>
      </c>
      <c r="P416" s="12" t="s">
        <v>604</v>
      </c>
      <c r="Q416" s="12" t="s">
        <v>604</v>
      </c>
      <c r="R416" s="12" t="s">
        <v>604</v>
      </c>
      <c r="S416" s="90">
        <v>0.002</v>
      </c>
      <c r="T416" s="159">
        <f t="shared" si="38"/>
        <v>0</v>
      </c>
      <c r="U416" s="161"/>
      <c r="V416" s="162"/>
      <c r="W416" s="255"/>
      <c r="X416" s="32"/>
      <c r="Y416" s="32"/>
      <c r="Z416" s="32"/>
      <c r="AA416" s="32"/>
      <c r="AB416" s="32"/>
      <c r="AC416" s="32"/>
      <c r="AD416" s="33"/>
      <c r="AE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</row>
    <row r="417" spans="1:49" ht="12.75" hidden="1">
      <c r="A417" s="111"/>
      <c r="B417" s="243" t="s">
        <v>510</v>
      </c>
      <c r="C417" s="249" t="s">
        <v>511</v>
      </c>
      <c r="D417" s="29">
        <v>0.004</v>
      </c>
      <c r="E417" s="296">
        <v>38264</v>
      </c>
      <c r="F417" s="297">
        <v>38325</v>
      </c>
      <c r="G417" s="9">
        <v>0.004</v>
      </c>
      <c r="H417" s="86">
        <v>0.002</v>
      </c>
      <c r="I417" s="12">
        <v>0.002</v>
      </c>
      <c r="J417" s="12"/>
      <c r="K417" s="12"/>
      <c r="L417" s="12"/>
      <c r="M417" s="12"/>
      <c r="N417" s="12"/>
      <c r="O417" s="12"/>
      <c r="P417" s="12"/>
      <c r="Q417" s="12"/>
      <c r="R417" s="12"/>
      <c r="S417" s="90"/>
      <c r="T417" s="159">
        <f t="shared" si="38"/>
        <v>0.004</v>
      </c>
      <c r="U417" s="161"/>
      <c r="V417" s="162"/>
      <c r="W417" s="255"/>
      <c r="X417" s="32"/>
      <c r="Y417" s="32"/>
      <c r="Z417" s="32"/>
      <c r="AA417" s="32"/>
      <c r="AB417" s="32"/>
      <c r="AC417" s="32"/>
      <c r="AD417" s="33"/>
      <c r="AE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</row>
    <row r="418" spans="1:49" ht="12.75" hidden="1">
      <c r="A418" s="111"/>
      <c r="B418" s="243" t="s">
        <v>512</v>
      </c>
      <c r="C418" s="249" t="s">
        <v>513</v>
      </c>
      <c r="D418" s="29">
        <v>0</v>
      </c>
      <c r="E418" s="296">
        <v>37681</v>
      </c>
      <c r="F418" s="297">
        <v>38047</v>
      </c>
      <c r="G418" s="9"/>
      <c r="H418" s="86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90">
        <v>0</v>
      </c>
      <c r="T418" s="159">
        <f t="shared" si="38"/>
        <v>0</v>
      </c>
      <c r="U418" s="161"/>
      <c r="V418" s="162"/>
      <c r="W418" s="255"/>
      <c r="X418" s="32"/>
      <c r="Y418" s="32"/>
      <c r="Z418" s="32"/>
      <c r="AA418" s="32"/>
      <c r="AB418" s="32"/>
      <c r="AC418" s="32"/>
      <c r="AD418" s="33"/>
      <c r="AE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</row>
    <row r="419" spans="1:49" ht="12.75" hidden="1">
      <c r="A419" s="111"/>
      <c r="B419" s="243" t="s">
        <v>514</v>
      </c>
      <c r="C419" s="249" t="s">
        <v>515</v>
      </c>
      <c r="D419" s="29">
        <v>0.038</v>
      </c>
      <c r="E419" s="296">
        <v>38388</v>
      </c>
      <c r="F419" s="297">
        <v>38447</v>
      </c>
      <c r="G419" s="9">
        <v>0.001</v>
      </c>
      <c r="H419" s="86"/>
      <c r="I419" s="12">
        <v>0.019</v>
      </c>
      <c r="J419" s="12">
        <v>0.019</v>
      </c>
      <c r="K419" s="12"/>
      <c r="L419" s="12"/>
      <c r="M419" s="12"/>
      <c r="N419" s="12"/>
      <c r="O419" s="12"/>
      <c r="P419" s="12"/>
      <c r="Q419" s="12"/>
      <c r="R419" s="12"/>
      <c r="S419" s="90"/>
      <c r="T419" s="159">
        <f t="shared" si="38"/>
        <v>0.019</v>
      </c>
      <c r="U419" s="161"/>
      <c r="V419" s="162"/>
      <c r="W419" s="255"/>
      <c r="X419" s="32"/>
      <c r="Y419" s="32"/>
      <c r="Z419" s="32"/>
      <c r="AA419" s="32"/>
      <c r="AB419" s="32"/>
      <c r="AC419" s="32"/>
      <c r="AD419" s="33"/>
      <c r="AE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</row>
    <row r="420" spans="1:49" ht="12.75" hidden="1">
      <c r="A420" s="111"/>
      <c r="B420" s="243" t="s">
        <v>516</v>
      </c>
      <c r="C420" s="249" t="s">
        <v>517</v>
      </c>
      <c r="D420" s="29">
        <v>0.002</v>
      </c>
      <c r="E420" s="296">
        <v>38078</v>
      </c>
      <c r="F420" s="297">
        <v>38412</v>
      </c>
      <c r="G420" s="9">
        <v>0.003</v>
      </c>
      <c r="H420" s="86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90">
        <v>0</v>
      </c>
      <c r="T420" s="159">
        <f t="shared" si="38"/>
        <v>0</v>
      </c>
      <c r="U420" s="161"/>
      <c r="V420" s="162"/>
      <c r="W420" s="255"/>
      <c r="X420" s="32"/>
      <c r="Y420" s="32"/>
      <c r="Z420" s="32"/>
      <c r="AA420" s="32"/>
      <c r="AB420" s="32"/>
      <c r="AC420" s="32"/>
      <c r="AD420" s="33"/>
      <c r="AE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</row>
    <row r="421" spans="1:49" ht="12.75" hidden="1">
      <c r="A421" s="111"/>
      <c r="B421" s="243" t="s">
        <v>518</v>
      </c>
      <c r="C421" s="249" t="s">
        <v>519</v>
      </c>
      <c r="D421" s="29">
        <v>0.08</v>
      </c>
      <c r="E421" s="296">
        <v>38596</v>
      </c>
      <c r="F421" s="297">
        <v>38687</v>
      </c>
      <c r="G421" s="9"/>
      <c r="H421" s="86" t="s">
        <v>604</v>
      </c>
      <c r="I421" s="12" t="s">
        <v>604</v>
      </c>
      <c r="J421" s="12" t="s">
        <v>604</v>
      </c>
      <c r="K421" s="12" t="s">
        <v>604</v>
      </c>
      <c r="L421" s="12" t="s">
        <v>604</v>
      </c>
      <c r="M421" s="12" t="s">
        <v>604</v>
      </c>
      <c r="N421" s="12">
        <v>0.027</v>
      </c>
      <c r="O421" s="12">
        <v>0.027</v>
      </c>
      <c r="P421" s="12">
        <v>0.027</v>
      </c>
      <c r="Q421" s="12"/>
      <c r="R421" s="12"/>
      <c r="S421" s="90"/>
      <c r="T421" s="159">
        <f t="shared" si="38"/>
        <v>0</v>
      </c>
      <c r="U421" s="161"/>
      <c r="V421" s="162"/>
      <c r="W421" s="255"/>
      <c r="X421" s="32"/>
      <c r="Y421" s="32"/>
      <c r="Z421" s="32"/>
      <c r="AA421" s="32"/>
      <c r="AB421" s="32"/>
      <c r="AC421" s="32"/>
      <c r="AD421" s="33"/>
      <c r="AE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</row>
    <row r="422" spans="1:49" ht="12.75" hidden="1">
      <c r="A422" s="111"/>
      <c r="B422" s="243" t="s">
        <v>520</v>
      </c>
      <c r="C422" s="249" t="s">
        <v>521</v>
      </c>
      <c r="D422" s="29">
        <v>0</v>
      </c>
      <c r="E422" s="296" t="s">
        <v>111</v>
      </c>
      <c r="F422" s="297" t="s">
        <v>111</v>
      </c>
      <c r="G422" s="9"/>
      <c r="H422" s="86" t="s">
        <v>604</v>
      </c>
      <c r="I422" s="12" t="s">
        <v>604</v>
      </c>
      <c r="J422" s="12" t="s">
        <v>604</v>
      </c>
      <c r="K422" s="12" t="s">
        <v>604</v>
      </c>
      <c r="L422" s="12" t="s">
        <v>604</v>
      </c>
      <c r="M422" s="12" t="s">
        <v>604</v>
      </c>
      <c r="N422" s="12" t="s">
        <v>604</v>
      </c>
      <c r="O422" s="12" t="s">
        <v>604</v>
      </c>
      <c r="P422" s="12" t="s">
        <v>604</v>
      </c>
      <c r="Q422" s="12" t="s">
        <v>604</v>
      </c>
      <c r="R422" s="12" t="s">
        <v>604</v>
      </c>
      <c r="S422" s="90" t="s">
        <v>604</v>
      </c>
      <c r="T422" s="159">
        <f t="shared" si="38"/>
        <v>0</v>
      </c>
      <c r="U422" s="161"/>
      <c r="V422" s="162"/>
      <c r="W422" s="255"/>
      <c r="X422" s="32"/>
      <c r="Y422" s="32"/>
      <c r="Z422" s="32"/>
      <c r="AA422" s="32"/>
      <c r="AB422" s="32"/>
      <c r="AC422" s="32"/>
      <c r="AD422" s="33"/>
      <c r="AE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</row>
    <row r="423" spans="1:49" ht="12.75" hidden="1">
      <c r="A423" s="111"/>
      <c r="B423" s="243" t="s">
        <v>522</v>
      </c>
      <c r="C423" s="249" t="s">
        <v>523</v>
      </c>
      <c r="D423" s="29">
        <v>0.03</v>
      </c>
      <c r="E423" s="296">
        <v>38596</v>
      </c>
      <c r="F423" s="297">
        <v>38626</v>
      </c>
      <c r="G423" s="9"/>
      <c r="H423" s="86" t="s">
        <v>604</v>
      </c>
      <c r="I423" s="12" t="s">
        <v>604</v>
      </c>
      <c r="J423" s="12" t="s">
        <v>604</v>
      </c>
      <c r="K423" s="12" t="s">
        <v>604</v>
      </c>
      <c r="L423" s="12" t="s">
        <v>604</v>
      </c>
      <c r="M423" s="12" t="s">
        <v>604</v>
      </c>
      <c r="N423" s="12">
        <v>0.03</v>
      </c>
      <c r="O423" s="12"/>
      <c r="P423" s="12"/>
      <c r="Q423" s="12"/>
      <c r="R423" s="12"/>
      <c r="S423" s="90"/>
      <c r="T423" s="159">
        <f t="shared" si="38"/>
        <v>0</v>
      </c>
      <c r="U423" s="161"/>
      <c r="V423" s="162"/>
      <c r="W423" s="255"/>
      <c r="X423" s="32"/>
      <c r="Y423" s="32"/>
      <c r="Z423" s="32"/>
      <c r="AA423" s="32"/>
      <c r="AB423" s="32"/>
      <c r="AC423" s="32"/>
      <c r="AD423" s="33"/>
      <c r="AE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</row>
    <row r="424" spans="1:49" ht="12.75" hidden="1">
      <c r="A424" s="111"/>
      <c r="B424" s="243" t="s">
        <v>524</v>
      </c>
      <c r="C424" s="249" t="s">
        <v>525</v>
      </c>
      <c r="D424" s="29">
        <v>0.01</v>
      </c>
      <c r="E424" s="298">
        <v>38388</v>
      </c>
      <c r="F424" s="297">
        <v>38447</v>
      </c>
      <c r="G424" s="9"/>
      <c r="H424" s="86"/>
      <c r="I424" s="12">
        <v>0.005</v>
      </c>
      <c r="J424" s="12">
        <v>0.005</v>
      </c>
      <c r="K424" s="12"/>
      <c r="L424" s="12"/>
      <c r="M424" s="12"/>
      <c r="N424" s="12"/>
      <c r="O424" s="12"/>
      <c r="P424" s="12"/>
      <c r="Q424" s="12"/>
      <c r="R424" s="12"/>
      <c r="S424" s="90"/>
      <c r="T424" s="159">
        <f t="shared" si="38"/>
        <v>0.005</v>
      </c>
      <c r="U424" s="161"/>
      <c r="V424" s="162"/>
      <c r="W424" s="255"/>
      <c r="X424" s="32"/>
      <c r="Y424" s="32"/>
      <c r="Z424" s="32"/>
      <c r="AA424" s="32"/>
      <c r="AB424" s="32"/>
      <c r="AC424" s="32"/>
      <c r="AD424" s="33"/>
      <c r="AE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</row>
    <row r="425" spans="1:49" ht="12.75" hidden="1">
      <c r="A425" s="111"/>
      <c r="B425" s="243" t="s">
        <v>526</v>
      </c>
      <c r="C425" s="249" t="s">
        <v>527</v>
      </c>
      <c r="D425" s="29">
        <v>0.03</v>
      </c>
      <c r="E425" s="298">
        <v>38657</v>
      </c>
      <c r="F425" s="297">
        <v>38687</v>
      </c>
      <c r="G425" s="9"/>
      <c r="H425" s="86" t="s">
        <v>604</v>
      </c>
      <c r="I425" s="12" t="s">
        <v>604</v>
      </c>
      <c r="J425" s="12" t="s">
        <v>604</v>
      </c>
      <c r="K425" s="12" t="s">
        <v>604</v>
      </c>
      <c r="L425" s="12" t="s">
        <v>604</v>
      </c>
      <c r="M425" s="12" t="s">
        <v>604</v>
      </c>
      <c r="N425" s="12" t="s">
        <v>604</v>
      </c>
      <c r="O425" s="12" t="s">
        <v>604</v>
      </c>
      <c r="P425" s="12"/>
      <c r="Q425" s="12">
        <v>0.03</v>
      </c>
      <c r="R425" s="12"/>
      <c r="S425" s="90"/>
      <c r="T425" s="159">
        <f t="shared" si="38"/>
        <v>0</v>
      </c>
      <c r="U425" s="161"/>
      <c r="V425" s="162"/>
      <c r="W425" s="255"/>
      <c r="X425" s="32"/>
      <c r="Y425" s="32"/>
      <c r="Z425" s="32"/>
      <c r="AA425" s="32"/>
      <c r="AB425" s="32"/>
      <c r="AC425" s="32"/>
      <c r="AD425" s="33"/>
      <c r="AE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</row>
    <row r="426" spans="1:49" ht="12.75" hidden="1">
      <c r="A426" s="111"/>
      <c r="B426" s="243" t="s">
        <v>528</v>
      </c>
      <c r="C426" s="249" t="s">
        <v>529</v>
      </c>
      <c r="D426" s="29">
        <v>0.06</v>
      </c>
      <c r="E426" s="298">
        <v>38718</v>
      </c>
      <c r="F426" s="297">
        <v>38808</v>
      </c>
      <c r="G426" s="9"/>
      <c r="H426" s="86" t="s">
        <v>604</v>
      </c>
      <c r="I426" s="12" t="s">
        <v>604</v>
      </c>
      <c r="J426" s="12" t="s">
        <v>604</v>
      </c>
      <c r="K426" s="12" t="s">
        <v>604</v>
      </c>
      <c r="L426" s="12" t="s">
        <v>604</v>
      </c>
      <c r="M426" s="12" t="s">
        <v>604</v>
      </c>
      <c r="N426" s="12" t="s">
        <v>604</v>
      </c>
      <c r="O426" s="12" t="s">
        <v>604</v>
      </c>
      <c r="P426" s="12" t="s">
        <v>604</v>
      </c>
      <c r="Q426" s="12">
        <v>0.02</v>
      </c>
      <c r="R426" s="12">
        <v>0.02</v>
      </c>
      <c r="S426" s="90">
        <v>0.02</v>
      </c>
      <c r="T426" s="159">
        <f t="shared" si="38"/>
        <v>0</v>
      </c>
      <c r="U426" s="161"/>
      <c r="V426" s="162"/>
      <c r="W426" s="255"/>
      <c r="X426" s="32"/>
      <c r="Y426" s="32"/>
      <c r="Z426" s="32"/>
      <c r="AA426" s="32"/>
      <c r="AB426" s="32"/>
      <c r="AC426" s="32"/>
      <c r="AD426" s="33"/>
      <c r="AE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</row>
    <row r="427" spans="1:49" ht="12.75" hidden="1">
      <c r="A427" s="111"/>
      <c r="B427" s="243" t="s">
        <v>530</v>
      </c>
      <c r="C427" s="249" t="s">
        <v>531</v>
      </c>
      <c r="D427" s="29">
        <v>0.06</v>
      </c>
      <c r="E427" s="298">
        <v>38718</v>
      </c>
      <c r="F427" s="297">
        <v>38808</v>
      </c>
      <c r="G427" s="9"/>
      <c r="H427" s="86" t="s">
        <v>604</v>
      </c>
      <c r="I427" s="12" t="s">
        <v>604</v>
      </c>
      <c r="J427" s="12" t="s">
        <v>604</v>
      </c>
      <c r="K427" s="12" t="s">
        <v>604</v>
      </c>
      <c r="L427" s="12" t="s">
        <v>604</v>
      </c>
      <c r="M427" s="12" t="s">
        <v>604</v>
      </c>
      <c r="N427" s="12" t="s">
        <v>604</v>
      </c>
      <c r="O427" s="12" t="s">
        <v>604</v>
      </c>
      <c r="P427" s="12" t="s">
        <v>604</v>
      </c>
      <c r="Q427" s="12">
        <v>0.02</v>
      </c>
      <c r="R427" s="12">
        <v>0.02</v>
      </c>
      <c r="S427" s="90">
        <v>0.02</v>
      </c>
      <c r="T427" s="159">
        <f t="shared" si="38"/>
        <v>0</v>
      </c>
      <c r="U427" s="161"/>
      <c r="V427" s="162"/>
      <c r="W427" s="255"/>
      <c r="X427" s="32"/>
      <c r="Y427" s="32"/>
      <c r="Z427" s="32"/>
      <c r="AA427" s="32"/>
      <c r="AB427" s="32"/>
      <c r="AC427" s="32"/>
      <c r="AD427" s="33"/>
      <c r="AE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</row>
    <row r="428" spans="1:49" ht="12.75" hidden="1">
      <c r="A428" s="111"/>
      <c r="B428" s="147" t="s">
        <v>532</v>
      </c>
      <c r="C428" s="249" t="s">
        <v>533</v>
      </c>
      <c r="D428" s="29">
        <v>0.02</v>
      </c>
      <c r="E428" s="298">
        <v>38777</v>
      </c>
      <c r="F428" s="297">
        <v>38930</v>
      </c>
      <c r="G428" s="9"/>
      <c r="H428" s="86">
        <v>0.02</v>
      </c>
      <c r="I428" s="12" t="s">
        <v>604</v>
      </c>
      <c r="J428" s="12" t="s">
        <v>604</v>
      </c>
      <c r="K428" s="12" t="s">
        <v>604</v>
      </c>
      <c r="L428" s="12" t="s">
        <v>604</v>
      </c>
      <c r="M428" s="12" t="s">
        <v>604</v>
      </c>
      <c r="N428" s="12" t="s">
        <v>604</v>
      </c>
      <c r="O428" s="12" t="s">
        <v>604</v>
      </c>
      <c r="P428" s="12" t="s">
        <v>604</v>
      </c>
      <c r="Q428" s="12" t="s">
        <v>604</v>
      </c>
      <c r="R428" s="12" t="s">
        <v>604</v>
      </c>
      <c r="S428" s="90">
        <v>0.02</v>
      </c>
      <c r="T428" s="159">
        <f t="shared" si="38"/>
        <v>0.02</v>
      </c>
      <c r="U428" s="161"/>
      <c r="V428" s="162"/>
      <c r="W428" s="255">
        <v>38446</v>
      </c>
      <c r="X428" s="32"/>
      <c r="Y428" s="32"/>
      <c r="Z428" s="32"/>
      <c r="AA428" s="32"/>
      <c r="AB428" s="32"/>
      <c r="AC428" s="32"/>
      <c r="AD428" s="33"/>
      <c r="AE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</row>
    <row r="429" spans="1:49" ht="12.75" hidden="1">
      <c r="A429" s="111"/>
      <c r="B429" s="147" t="s">
        <v>534</v>
      </c>
      <c r="C429" s="249" t="s">
        <v>535</v>
      </c>
      <c r="D429" s="29">
        <v>0.075</v>
      </c>
      <c r="E429" s="298">
        <v>38657</v>
      </c>
      <c r="F429" s="297">
        <v>38749</v>
      </c>
      <c r="G429" s="9"/>
      <c r="H429" s="86" t="s">
        <v>604</v>
      </c>
      <c r="I429" s="12" t="s">
        <v>604</v>
      </c>
      <c r="J429" s="12" t="s">
        <v>604</v>
      </c>
      <c r="K429" s="12" t="s">
        <v>604</v>
      </c>
      <c r="L429" s="12" t="s">
        <v>604</v>
      </c>
      <c r="M429" s="12" t="s">
        <v>604</v>
      </c>
      <c r="N429" s="12" t="s">
        <v>604</v>
      </c>
      <c r="O429" s="12" t="s">
        <v>604</v>
      </c>
      <c r="P429" s="12">
        <v>0.025</v>
      </c>
      <c r="Q429" s="12">
        <v>0.025</v>
      </c>
      <c r="R429" s="12">
        <v>0.025</v>
      </c>
      <c r="S429" s="90"/>
      <c r="T429" s="159">
        <f t="shared" si="38"/>
        <v>0</v>
      </c>
      <c r="U429" s="161"/>
      <c r="V429" s="162"/>
      <c r="W429" s="255"/>
      <c r="X429" s="32"/>
      <c r="Y429" s="32"/>
      <c r="Z429" s="32"/>
      <c r="AA429" s="32"/>
      <c r="AB429" s="32"/>
      <c r="AC429" s="32"/>
      <c r="AD429" s="33"/>
      <c r="AE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</row>
    <row r="430" spans="1:49" ht="12.75" hidden="1">
      <c r="A430" s="111"/>
      <c r="B430" s="147" t="s">
        <v>536</v>
      </c>
      <c r="C430" s="249" t="s">
        <v>537</v>
      </c>
      <c r="D430" s="29">
        <v>0.03</v>
      </c>
      <c r="E430" s="298">
        <v>38749</v>
      </c>
      <c r="F430" s="297">
        <v>38808</v>
      </c>
      <c r="G430" s="9"/>
      <c r="H430" s="86" t="s">
        <v>604</v>
      </c>
      <c r="I430" s="12" t="s">
        <v>604</v>
      </c>
      <c r="J430" s="12" t="s">
        <v>604</v>
      </c>
      <c r="K430" s="12" t="s">
        <v>604</v>
      </c>
      <c r="L430" s="12" t="s">
        <v>604</v>
      </c>
      <c r="M430" s="12" t="s">
        <v>604</v>
      </c>
      <c r="N430" s="12" t="s">
        <v>604</v>
      </c>
      <c r="O430" s="12" t="s">
        <v>604</v>
      </c>
      <c r="P430" s="12" t="s">
        <v>604</v>
      </c>
      <c r="Q430" s="12" t="s">
        <v>604</v>
      </c>
      <c r="R430" s="12" t="s">
        <v>604</v>
      </c>
      <c r="S430" s="90">
        <v>0.03</v>
      </c>
      <c r="T430" s="159">
        <f t="shared" si="38"/>
        <v>0</v>
      </c>
      <c r="U430" s="161"/>
      <c r="V430" s="162"/>
      <c r="W430" s="255"/>
      <c r="X430" s="32"/>
      <c r="Y430" s="32"/>
      <c r="Z430" s="32"/>
      <c r="AA430" s="32"/>
      <c r="AB430" s="32"/>
      <c r="AC430" s="32"/>
      <c r="AD430" s="33"/>
      <c r="AE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</row>
    <row r="431" spans="1:49" ht="12.75" hidden="1">
      <c r="A431" s="111"/>
      <c r="B431" s="147" t="s">
        <v>538</v>
      </c>
      <c r="C431" s="249" t="s">
        <v>539</v>
      </c>
      <c r="D431" s="29">
        <v>0.035</v>
      </c>
      <c r="E431" s="298">
        <v>38749</v>
      </c>
      <c r="F431" s="297">
        <v>38808</v>
      </c>
      <c r="G431" s="9"/>
      <c r="H431" s="86" t="s">
        <v>604</v>
      </c>
      <c r="I431" s="12" t="s">
        <v>604</v>
      </c>
      <c r="J431" s="12" t="s">
        <v>604</v>
      </c>
      <c r="K431" s="12" t="s">
        <v>604</v>
      </c>
      <c r="L431" s="12" t="s">
        <v>604</v>
      </c>
      <c r="M431" s="12" t="s">
        <v>604</v>
      </c>
      <c r="N431" s="12" t="s">
        <v>604</v>
      </c>
      <c r="O431" s="12" t="s">
        <v>604</v>
      </c>
      <c r="P431" s="12" t="s">
        <v>604</v>
      </c>
      <c r="Q431" s="12" t="s">
        <v>604</v>
      </c>
      <c r="R431" s="12" t="s">
        <v>604</v>
      </c>
      <c r="S431" s="90">
        <v>0.035</v>
      </c>
      <c r="T431" s="159">
        <f t="shared" si="38"/>
        <v>0</v>
      </c>
      <c r="U431" s="161"/>
      <c r="V431" s="162"/>
      <c r="W431" s="255"/>
      <c r="X431" s="32"/>
      <c r="Y431" s="32"/>
      <c r="Z431" s="32"/>
      <c r="AA431" s="32"/>
      <c r="AB431" s="32"/>
      <c r="AC431" s="32"/>
      <c r="AD431" s="33"/>
      <c r="AE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</row>
    <row r="432" spans="1:49" ht="12.75" hidden="1">
      <c r="A432" s="111"/>
      <c r="B432" s="147" t="s">
        <v>540</v>
      </c>
      <c r="C432" s="249" t="s">
        <v>541</v>
      </c>
      <c r="D432" s="29">
        <v>0.025</v>
      </c>
      <c r="E432" s="298">
        <v>38777</v>
      </c>
      <c r="F432" s="297">
        <v>38808</v>
      </c>
      <c r="G432" s="9"/>
      <c r="H432" s="86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>
        <v>0.025</v>
      </c>
      <c r="T432" s="159">
        <f t="shared" si="38"/>
        <v>0</v>
      </c>
      <c r="U432" s="161"/>
      <c r="V432" s="162"/>
      <c r="W432" s="255"/>
      <c r="X432" s="32"/>
      <c r="Y432" s="32"/>
      <c r="Z432" s="32"/>
      <c r="AA432" s="32"/>
      <c r="AB432" s="32"/>
      <c r="AC432" s="32"/>
      <c r="AD432" s="33"/>
      <c r="AE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</row>
    <row r="433" spans="2:49" ht="12.75">
      <c r="B433" s="189" t="s">
        <v>299</v>
      </c>
      <c r="C433" s="97" t="s">
        <v>248</v>
      </c>
      <c r="D433" s="9">
        <f>SUM(D407:D432)</f>
        <v>0.7420000000000001</v>
      </c>
      <c r="E433" s="298">
        <v>38078</v>
      </c>
      <c r="F433" s="299">
        <v>38412</v>
      </c>
      <c r="G433" s="98">
        <f>SUM(G407:G432)</f>
        <v>0.019</v>
      </c>
      <c r="H433" s="156">
        <f>SUM(H407:H432)</f>
        <v>0.022</v>
      </c>
      <c r="I433" s="157">
        <f aca="true" t="shared" si="39" ref="I433:S433">SUM(I407:I432)</f>
        <v>0.038</v>
      </c>
      <c r="J433" s="157">
        <f t="shared" si="39"/>
        <v>0.061000000000000006</v>
      </c>
      <c r="K433" s="157">
        <f t="shared" si="39"/>
        <v>0.037000000000000005</v>
      </c>
      <c r="L433" s="157">
        <f t="shared" si="39"/>
        <v>0.012</v>
      </c>
      <c r="M433" s="157">
        <f t="shared" si="39"/>
        <v>0.012</v>
      </c>
      <c r="N433" s="157">
        <f t="shared" si="39"/>
        <v>0.069</v>
      </c>
      <c r="O433" s="157">
        <f t="shared" si="39"/>
        <v>0.059</v>
      </c>
      <c r="P433" s="157">
        <f t="shared" si="39"/>
        <v>0.08399999999999999</v>
      </c>
      <c r="Q433" s="157">
        <f t="shared" si="39"/>
        <v>0.10700000000000001</v>
      </c>
      <c r="R433" s="157">
        <f t="shared" si="39"/>
        <v>0.07700000000000001</v>
      </c>
      <c r="S433" s="157">
        <f t="shared" si="39"/>
        <v>0.17200000000000001</v>
      </c>
      <c r="T433" s="159">
        <f>SUM(H433:I433)</f>
        <v>0.06</v>
      </c>
      <c r="U433" s="161" t="str">
        <f>IF(SUM(H433:S433)-D433=0,"","adjust profile")</f>
        <v>adjust profile</v>
      </c>
      <c r="V433" s="162"/>
      <c r="W433" s="255"/>
      <c r="X433" s="155">
        <f aca="true" t="shared" si="40" ref="X433:AE433">SUM(X407:X432)</f>
        <v>0</v>
      </c>
      <c r="Y433" s="155">
        <f t="shared" si="40"/>
        <v>0</v>
      </c>
      <c r="Z433" s="155">
        <f t="shared" si="40"/>
        <v>0</v>
      </c>
      <c r="AA433" s="155">
        <f t="shared" si="40"/>
        <v>0</v>
      </c>
      <c r="AB433" s="155">
        <f t="shared" si="40"/>
        <v>0</v>
      </c>
      <c r="AC433" s="155">
        <f t="shared" si="40"/>
        <v>0</v>
      </c>
      <c r="AD433" s="155">
        <f t="shared" si="40"/>
        <v>0</v>
      </c>
      <c r="AE433" s="155">
        <f t="shared" si="40"/>
        <v>0</v>
      </c>
      <c r="AF433" s="212"/>
      <c r="AG433" s="155">
        <f aca="true" t="shared" si="41" ref="AG433:AW433">SUM(AG407:AG432)</f>
        <v>0</v>
      </c>
      <c r="AH433" s="155">
        <f t="shared" si="41"/>
        <v>0</v>
      </c>
      <c r="AI433" s="155">
        <f t="shared" si="41"/>
        <v>0</v>
      </c>
      <c r="AJ433" s="155">
        <f t="shared" si="41"/>
        <v>0</v>
      </c>
      <c r="AK433" s="155">
        <f t="shared" si="41"/>
        <v>0</v>
      </c>
      <c r="AL433" s="155">
        <f t="shared" si="41"/>
        <v>0</v>
      </c>
      <c r="AM433" s="155">
        <f t="shared" si="41"/>
        <v>0</v>
      </c>
      <c r="AN433" s="155">
        <f t="shared" si="41"/>
        <v>0</v>
      </c>
      <c r="AO433" s="155">
        <f t="shared" si="41"/>
        <v>0</v>
      </c>
      <c r="AP433" s="155">
        <f t="shared" si="41"/>
        <v>0</v>
      </c>
      <c r="AQ433" s="155">
        <f t="shared" si="41"/>
        <v>0</v>
      </c>
      <c r="AR433" s="155">
        <f t="shared" si="41"/>
        <v>0</v>
      </c>
      <c r="AS433" s="155">
        <f t="shared" si="41"/>
        <v>0</v>
      </c>
      <c r="AT433" s="155">
        <f t="shared" si="41"/>
        <v>0</v>
      </c>
      <c r="AU433" s="155">
        <f t="shared" si="41"/>
        <v>0</v>
      </c>
      <c r="AV433" s="155">
        <f t="shared" si="41"/>
        <v>0</v>
      </c>
      <c r="AW433" s="155">
        <f t="shared" si="41"/>
        <v>0</v>
      </c>
    </row>
    <row r="434" spans="2:49" ht="12.75" hidden="1">
      <c r="B434" s="243" t="s">
        <v>420</v>
      </c>
      <c r="C434" s="246" t="s">
        <v>421</v>
      </c>
      <c r="D434" s="29">
        <v>0</v>
      </c>
      <c r="E434" s="296">
        <v>38443</v>
      </c>
      <c r="F434" s="297">
        <v>38777</v>
      </c>
      <c r="G434" s="263"/>
      <c r="H434" s="78" t="s">
        <v>604</v>
      </c>
      <c r="I434" s="78">
        <v>0</v>
      </c>
      <c r="J434" s="78">
        <v>0</v>
      </c>
      <c r="K434" s="78">
        <v>0</v>
      </c>
      <c r="L434" s="78">
        <v>0</v>
      </c>
      <c r="M434" s="78">
        <v>0</v>
      </c>
      <c r="N434" s="78">
        <v>0</v>
      </c>
      <c r="O434" s="78">
        <v>0</v>
      </c>
      <c r="P434" s="78">
        <v>0</v>
      </c>
      <c r="Q434" s="78">
        <v>0</v>
      </c>
      <c r="R434" s="78">
        <v>0</v>
      </c>
      <c r="S434" s="78">
        <v>0</v>
      </c>
      <c r="T434" s="159">
        <f t="shared" si="38"/>
        <v>0</v>
      </c>
      <c r="U434" s="161" t="str">
        <f aca="true" t="shared" si="42" ref="U434:U458">IF(SUM(H407:S407)-D434=0,"","adjust profile")</f>
        <v>adjust profile</v>
      </c>
      <c r="V434" s="162"/>
      <c r="W434" s="255"/>
      <c r="X434" s="32"/>
      <c r="Y434" s="32"/>
      <c r="Z434" s="32"/>
      <c r="AA434" s="32"/>
      <c r="AB434" s="32"/>
      <c r="AC434" s="32"/>
      <c r="AD434" s="33"/>
      <c r="AE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</row>
    <row r="435" spans="2:49" ht="12.75" hidden="1">
      <c r="B435" s="243" t="s">
        <v>422</v>
      </c>
      <c r="C435" s="246" t="s">
        <v>423</v>
      </c>
      <c r="D435" s="29">
        <v>0.01</v>
      </c>
      <c r="E435" s="296">
        <v>38443</v>
      </c>
      <c r="F435" s="297">
        <v>38777</v>
      </c>
      <c r="G435" s="263">
        <v>0.002</v>
      </c>
      <c r="H435" s="78" t="s">
        <v>604</v>
      </c>
      <c r="I435" s="78"/>
      <c r="J435" s="78">
        <v>0.001</v>
      </c>
      <c r="K435" s="78">
        <v>0.001</v>
      </c>
      <c r="L435" s="78">
        <v>0.001</v>
      </c>
      <c r="M435" s="78">
        <v>0.001</v>
      </c>
      <c r="N435" s="78">
        <v>0.001</v>
      </c>
      <c r="O435" s="78">
        <v>0.001</v>
      </c>
      <c r="P435" s="78">
        <v>0.001</v>
      </c>
      <c r="Q435" s="78">
        <v>0.001</v>
      </c>
      <c r="R435" s="78">
        <v>0.001</v>
      </c>
      <c r="S435" s="78">
        <v>0.001</v>
      </c>
      <c r="T435" s="159">
        <f t="shared" si="38"/>
        <v>0</v>
      </c>
      <c r="U435" s="161" t="str">
        <f t="shared" si="42"/>
        <v>adjust profile</v>
      </c>
      <c r="V435" s="162"/>
      <c r="W435" s="255"/>
      <c r="X435" s="32"/>
      <c r="Y435" s="32"/>
      <c r="Z435" s="32"/>
      <c r="AA435" s="32"/>
      <c r="AB435" s="32"/>
      <c r="AC435" s="32"/>
      <c r="AD435" s="33"/>
      <c r="AE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</row>
    <row r="436" spans="2:49" ht="12.75" hidden="1">
      <c r="B436" s="243" t="s">
        <v>424</v>
      </c>
      <c r="C436" s="246" t="s">
        <v>425</v>
      </c>
      <c r="D436" s="29">
        <v>0.005</v>
      </c>
      <c r="E436" s="296">
        <v>38443</v>
      </c>
      <c r="F436" s="297">
        <v>38777</v>
      </c>
      <c r="G436" s="263"/>
      <c r="H436" s="78" t="s">
        <v>604</v>
      </c>
      <c r="I436" s="78">
        <v>0</v>
      </c>
      <c r="J436" s="78">
        <v>0</v>
      </c>
      <c r="K436" s="78">
        <v>0</v>
      </c>
      <c r="L436" s="78">
        <v>0</v>
      </c>
      <c r="M436" s="78">
        <v>0</v>
      </c>
      <c r="N436" s="78">
        <v>0</v>
      </c>
      <c r="O436" s="78">
        <v>0</v>
      </c>
      <c r="P436" s="78">
        <v>0</v>
      </c>
      <c r="Q436" s="78">
        <v>0</v>
      </c>
      <c r="R436" s="78">
        <v>0</v>
      </c>
      <c r="S436" s="78">
        <v>0.005</v>
      </c>
      <c r="T436" s="159">
        <f t="shared" si="38"/>
        <v>0</v>
      </c>
      <c r="U436" s="161" t="str">
        <f t="shared" si="42"/>
        <v>adjust profile</v>
      </c>
      <c r="V436" s="162"/>
      <c r="W436" s="255"/>
      <c r="X436" s="32"/>
      <c r="Y436" s="32"/>
      <c r="Z436" s="32"/>
      <c r="AA436" s="32"/>
      <c r="AB436" s="32"/>
      <c r="AC436" s="32"/>
      <c r="AD436" s="33"/>
      <c r="AE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</row>
    <row r="437" spans="2:49" ht="12.75" hidden="1">
      <c r="B437" s="243" t="s">
        <v>426</v>
      </c>
      <c r="C437" s="246" t="s">
        <v>427</v>
      </c>
      <c r="D437" s="29">
        <v>0.005</v>
      </c>
      <c r="E437" s="296">
        <v>37987</v>
      </c>
      <c r="F437" s="297">
        <v>38081</v>
      </c>
      <c r="G437" s="263"/>
      <c r="H437" s="78">
        <v>0.002</v>
      </c>
      <c r="I437" s="78">
        <v>0.002</v>
      </c>
      <c r="J437" s="78">
        <v>0.001</v>
      </c>
      <c r="K437" s="78"/>
      <c r="L437" s="78"/>
      <c r="M437" s="78"/>
      <c r="N437" s="78"/>
      <c r="O437" s="78"/>
      <c r="P437" s="78"/>
      <c r="Q437" s="78"/>
      <c r="R437" s="78"/>
      <c r="S437" s="78"/>
      <c r="T437" s="159">
        <f t="shared" si="38"/>
        <v>0.004</v>
      </c>
      <c r="U437" s="161" t="str">
        <f t="shared" si="42"/>
        <v>adjust profile</v>
      </c>
      <c r="V437" s="162"/>
      <c r="W437" s="255"/>
      <c r="X437" s="32"/>
      <c r="Y437" s="32"/>
      <c r="Z437" s="32"/>
      <c r="AA437" s="32"/>
      <c r="AB437" s="32"/>
      <c r="AC437" s="32"/>
      <c r="AD437" s="33"/>
      <c r="AE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</row>
    <row r="438" spans="2:49" ht="12.75" hidden="1">
      <c r="B438" s="243" t="s">
        <v>428</v>
      </c>
      <c r="C438" s="246" t="s">
        <v>429</v>
      </c>
      <c r="D438" s="29">
        <v>0.006</v>
      </c>
      <c r="E438" s="296">
        <v>37956</v>
      </c>
      <c r="F438" s="297">
        <v>38108</v>
      </c>
      <c r="G438" s="263">
        <v>0.006</v>
      </c>
      <c r="H438" s="78">
        <v>0.001</v>
      </c>
      <c r="I438" s="78">
        <v>0.001</v>
      </c>
      <c r="J438" s="78">
        <v>0.001</v>
      </c>
      <c r="K438" s="78">
        <v>0.001</v>
      </c>
      <c r="L438" s="78">
        <v>0.001</v>
      </c>
      <c r="M438" s="78">
        <v>0.001</v>
      </c>
      <c r="N438" s="78"/>
      <c r="O438" s="78"/>
      <c r="P438" s="78"/>
      <c r="Q438" s="78"/>
      <c r="R438" s="78"/>
      <c r="S438" s="78"/>
      <c r="T438" s="159">
        <f t="shared" si="38"/>
        <v>0.002</v>
      </c>
      <c r="U438" s="161" t="str">
        <f t="shared" si="42"/>
        <v>adjust profile</v>
      </c>
      <c r="V438" s="162"/>
      <c r="W438" s="255"/>
      <c r="X438" s="32"/>
      <c r="Y438" s="32"/>
      <c r="Z438" s="32"/>
      <c r="AA438" s="32"/>
      <c r="AB438" s="32"/>
      <c r="AC438" s="32"/>
      <c r="AD438" s="33"/>
      <c r="AE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</row>
    <row r="439" spans="2:49" ht="12.75" hidden="1">
      <c r="B439" s="243" t="s">
        <v>430</v>
      </c>
      <c r="C439" s="246" t="s">
        <v>431</v>
      </c>
      <c r="D439" s="29">
        <v>0.075</v>
      </c>
      <c r="E439" s="296">
        <v>38504</v>
      </c>
      <c r="F439" s="296">
        <v>38504</v>
      </c>
      <c r="G439" s="263"/>
      <c r="H439" s="78"/>
      <c r="I439" s="78">
        <v>0.001</v>
      </c>
      <c r="J439" s="78">
        <v>0.02</v>
      </c>
      <c r="K439" s="78">
        <v>0.001</v>
      </c>
      <c r="L439" s="78"/>
      <c r="M439" s="78">
        <v>0.015</v>
      </c>
      <c r="N439" s="78"/>
      <c r="O439" s="78">
        <v>0.015</v>
      </c>
      <c r="P439" s="78"/>
      <c r="Q439" s="78"/>
      <c r="R439" s="78"/>
      <c r="S439" s="78">
        <v>0.015</v>
      </c>
      <c r="T439" s="159">
        <f t="shared" si="38"/>
        <v>0.001</v>
      </c>
      <c r="U439" s="161" t="str">
        <f t="shared" si="42"/>
        <v>adjust profile</v>
      </c>
      <c r="V439" s="162"/>
      <c r="W439" s="255">
        <v>38495</v>
      </c>
      <c r="X439" s="32"/>
      <c r="Y439" s="32"/>
      <c r="Z439" s="32"/>
      <c r="AA439" s="32"/>
      <c r="AB439" s="32"/>
      <c r="AC439" s="32"/>
      <c r="AD439" s="33"/>
      <c r="AE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</row>
    <row r="440" spans="2:49" ht="12.75" hidden="1">
      <c r="B440" s="243" t="s">
        <v>432</v>
      </c>
      <c r="C440" s="246" t="s">
        <v>433</v>
      </c>
      <c r="D440" s="29">
        <v>0.02</v>
      </c>
      <c r="E440" s="296">
        <v>38231</v>
      </c>
      <c r="F440" s="297">
        <v>38777</v>
      </c>
      <c r="G440" s="263"/>
      <c r="H440" s="78"/>
      <c r="I440" s="78"/>
      <c r="J440" s="78"/>
      <c r="K440" s="78"/>
      <c r="L440" s="78"/>
      <c r="M440" s="78">
        <v>0.002</v>
      </c>
      <c r="N440" s="78">
        <v>0.003</v>
      </c>
      <c r="O440" s="78">
        <v>0.003</v>
      </c>
      <c r="P440" s="78">
        <v>0.003</v>
      </c>
      <c r="Q440" s="78">
        <v>0.003</v>
      </c>
      <c r="R440" s="78">
        <v>0.003</v>
      </c>
      <c r="S440" s="78">
        <v>0.003</v>
      </c>
      <c r="T440" s="159">
        <f t="shared" si="38"/>
        <v>0</v>
      </c>
      <c r="U440" s="161" t="str">
        <f t="shared" si="42"/>
        <v>adjust profile</v>
      </c>
      <c r="V440" s="162"/>
      <c r="W440" s="255"/>
      <c r="X440" s="32"/>
      <c r="Y440" s="32"/>
      <c r="Z440" s="32"/>
      <c r="AA440" s="32"/>
      <c r="AB440" s="32"/>
      <c r="AC440" s="32"/>
      <c r="AD440" s="33"/>
      <c r="AE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</row>
    <row r="441" spans="2:49" ht="12.75" hidden="1">
      <c r="B441" s="243" t="s">
        <v>434</v>
      </c>
      <c r="C441" s="246" t="s">
        <v>435</v>
      </c>
      <c r="D441" s="29">
        <v>0.002</v>
      </c>
      <c r="E441" s="296">
        <v>38108</v>
      </c>
      <c r="F441" s="297">
        <v>38139</v>
      </c>
      <c r="G441" s="263">
        <v>0.001</v>
      </c>
      <c r="H441" s="78"/>
      <c r="I441" s="78"/>
      <c r="J441" s="78"/>
      <c r="K441" s="78">
        <v>0.002</v>
      </c>
      <c r="L441" s="78"/>
      <c r="M441" s="78"/>
      <c r="N441" s="78"/>
      <c r="O441" s="78"/>
      <c r="P441" s="78"/>
      <c r="Q441" s="78"/>
      <c r="R441" s="78"/>
      <c r="S441" s="78"/>
      <c r="T441" s="159">
        <f t="shared" si="38"/>
        <v>0</v>
      </c>
      <c r="U441" s="161" t="str">
        <f t="shared" si="42"/>
        <v>adjust profile</v>
      </c>
      <c r="V441" s="162"/>
      <c r="W441" s="255"/>
      <c r="X441" s="32"/>
      <c r="Y441" s="32"/>
      <c r="Z441" s="32"/>
      <c r="AA441" s="32"/>
      <c r="AB441" s="32"/>
      <c r="AC441" s="32"/>
      <c r="AD441" s="33"/>
      <c r="AE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</row>
    <row r="442" spans="2:49" ht="12.75" hidden="1">
      <c r="B442" s="243" t="s">
        <v>436</v>
      </c>
      <c r="C442" s="246" t="s">
        <v>437</v>
      </c>
      <c r="D442" s="29">
        <v>0</v>
      </c>
      <c r="E442" s="296">
        <v>38018</v>
      </c>
      <c r="F442" s="297">
        <v>38169</v>
      </c>
      <c r="G442" s="263"/>
      <c r="H442" s="78">
        <v>0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159">
        <f t="shared" si="38"/>
        <v>0</v>
      </c>
      <c r="U442" s="161">
        <f t="shared" si="42"/>
      </c>
      <c r="V442" s="162"/>
      <c r="W442" s="255"/>
      <c r="X442" s="32"/>
      <c r="Y442" s="32"/>
      <c r="Z442" s="32"/>
      <c r="AA442" s="32"/>
      <c r="AB442" s="32"/>
      <c r="AC442" s="32"/>
      <c r="AD442" s="33"/>
      <c r="AE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</row>
    <row r="443" spans="2:49" ht="12.75" hidden="1">
      <c r="B443" s="243" t="s">
        <v>438</v>
      </c>
      <c r="C443" s="246" t="s">
        <v>439</v>
      </c>
      <c r="D443" s="29">
        <v>0</v>
      </c>
      <c r="E443" s="296">
        <v>38172</v>
      </c>
      <c r="F443" s="297">
        <v>38264</v>
      </c>
      <c r="G443" s="263"/>
      <c r="H443" s="78">
        <v>0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159">
        <f t="shared" si="38"/>
        <v>0</v>
      </c>
      <c r="U443" s="161" t="str">
        <f t="shared" si="42"/>
        <v>adjust profile</v>
      </c>
      <c r="V443" s="162"/>
      <c r="W443" s="255"/>
      <c r="X443" s="32"/>
      <c r="Y443" s="32"/>
      <c r="Z443" s="32"/>
      <c r="AA443" s="32"/>
      <c r="AB443" s="32"/>
      <c r="AC443" s="32"/>
      <c r="AD443" s="33"/>
      <c r="AE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</row>
    <row r="444" spans="2:49" ht="12.75" hidden="1">
      <c r="B444" s="243" t="s">
        <v>440</v>
      </c>
      <c r="C444" s="246" t="s">
        <v>441</v>
      </c>
      <c r="D444" s="29">
        <v>0.002</v>
      </c>
      <c r="E444" s="296">
        <v>38172</v>
      </c>
      <c r="F444" s="297">
        <v>38264</v>
      </c>
      <c r="G444" s="263"/>
      <c r="H444" s="78"/>
      <c r="I444" s="78"/>
      <c r="J444" s="78"/>
      <c r="K444" s="78"/>
      <c r="L444" s="78"/>
      <c r="M444" s="78">
        <v>0.001</v>
      </c>
      <c r="N444" s="78">
        <v>0.001</v>
      </c>
      <c r="O444" s="78"/>
      <c r="P444" s="78"/>
      <c r="Q444" s="78"/>
      <c r="R444" s="78"/>
      <c r="S444" s="78"/>
      <c r="T444" s="159">
        <f t="shared" si="38"/>
        <v>0</v>
      </c>
      <c r="U444" s="161" t="str">
        <f t="shared" si="42"/>
        <v>adjust profile</v>
      </c>
      <c r="V444" s="162"/>
      <c r="W444" s="255"/>
      <c r="X444" s="32"/>
      <c r="Y444" s="32"/>
      <c r="Z444" s="32"/>
      <c r="AA444" s="32"/>
      <c r="AB444" s="32"/>
      <c r="AC444" s="32"/>
      <c r="AD444" s="33"/>
      <c r="AE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</row>
    <row r="445" spans="2:49" ht="12.75" hidden="1">
      <c r="B445" s="243" t="s">
        <v>442</v>
      </c>
      <c r="C445" s="246" t="s">
        <v>443</v>
      </c>
      <c r="D445" s="29">
        <v>0.005</v>
      </c>
      <c r="E445" s="296">
        <v>38203</v>
      </c>
      <c r="F445" s="297">
        <v>38264</v>
      </c>
      <c r="G445" s="263"/>
      <c r="H445" s="78"/>
      <c r="I445" s="78"/>
      <c r="J445" s="78"/>
      <c r="K445" s="78"/>
      <c r="L445" s="78"/>
      <c r="M445" s="78">
        <v>0.002</v>
      </c>
      <c r="N445" s="78">
        <v>0.003</v>
      </c>
      <c r="O445" s="78"/>
      <c r="P445" s="78"/>
      <c r="Q445" s="78"/>
      <c r="R445" s="78"/>
      <c r="S445" s="78"/>
      <c r="T445" s="159">
        <f t="shared" si="38"/>
        <v>0</v>
      </c>
      <c r="U445" s="161" t="str">
        <f t="shared" si="42"/>
        <v>adjust profile</v>
      </c>
      <c r="V445" s="162"/>
      <c r="W445" s="255"/>
      <c r="X445" s="32"/>
      <c r="Y445" s="32"/>
      <c r="Z445" s="32"/>
      <c r="AA445" s="32"/>
      <c r="AB445" s="32"/>
      <c r="AC445" s="32"/>
      <c r="AD445" s="33"/>
      <c r="AE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</row>
    <row r="446" spans="2:49" ht="12.75" hidden="1">
      <c r="B446" s="243" t="s">
        <v>444</v>
      </c>
      <c r="C446" s="246" t="s">
        <v>445</v>
      </c>
      <c r="D446" s="29">
        <v>0.075</v>
      </c>
      <c r="E446" s="296">
        <v>38447</v>
      </c>
      <c r="F446" s="297">
        <v>38569</v>
      </c>
      <c r="G446" s="263"/>
      <c r="H446" s="78" t="s">
        <v>604</v>
      </c>
      <c r="I446" s="78">
        <v>0.019</v>
      </c>
      <c r="J446" s="78">
        <v>0.019</v>
      </c>
      <c r="K446" s="78">
        <v>0.019</v>
      </c>
      <c r="L446" s="78">
        <v>0.019</v>
      </c>
      <c r="M446" s="78"/>
      <c r="N446" s="78"/>
      <c r="O446" s="78"/>
      <c r="P446" s="78"/>
      <c r="Q446" s="78"/>
      <c r="R446" s="78"/>
      <c r="S446" s="78"/>
      <c r="T446" s="159">
        <f t="shared" si="38"/>
        <v>0.019</v>
      </c>
      <c r="U446" s="161" t="str">
        <f t="shared" si="42"/>
        <v>adjust profile</v>
      </c>
      <c r="V446" s="162"/>
      <c r="W446" s="255"/>
      <c r="X446" s="32"/>
      <c r="Y446" s="32"/>
      <c r="Z446" s="32"/>
      <c r="AA446" s="32"/>
      <c r="AB446" s="32"/>
      <c r="AC446" s="32"/>
      <c r="AD446" s="33"/>
      <c r="AE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</row>
    <row r="447" spans="2:49" ht="12.75" hidden="1">
      <c r="B447" s="243" t="s">
        <v>446</v>
      </c>
      <c r="C447" s="246" t="s">
        <v>447</v>
      </c>
      <c r="D447" s="29">
        <v>0.003</v>
      </c>
      <c r="E447" s="296" t="s">
        <v>448</v>
      </c>
      <c r="F447" s="297" t="s">
        <v>448</v>
      </c>
      <c r="G447" s="263"/>
      <c r="H447" s="78" t="s">
        <v>604</v>
      </c>
      <c r="I447" s="78" t="s">
        <v>604</v>
      </c>
      <c r="J447" s="78" t="s">
        <v>604</v>
      </c>
      <c r="K447" s="78" t="s">
        <v>604</v>
      </c>
      <c r="L447" s="78" t="s">
        <v>604</v>
      </c>
      <c r="M447" s="78" t="s">
        <v>604</v>
      </c>
      <c r="N447" s="78" t="s">
        <v>604</v>
      </c>
      <c r="O447" s="78" t="s">
        <v>604</v>
      </c>
      <c r="P447" s="78" t="s">
        <v>604</v>
      </c>
      <c r="Q447" s="78" t="s">
        <v>604</v>
      </c>
      <c r="R447" s="78" t="s">
        <v>604</v>
      </c>
      <c r="S447" s="78">
        <v>0.003</v>
      </c>
      <c r="T447" s="159">
        <f t="shared" si="38"/>
        <v>0</v>
      </c>
      <c r="U447" s="161" t="str">
        <f t="shared" si="42"/>
        <v>adjust profile</v>
      </c>
      <c r="V447" s="162"/>
      <c r="W447" s="255"/>
      <c r="X447" s="32"/>
      <c r="Y447" s="32"/>
      <c r="Z447" s="32"/>
      <c r="AA447" s="32"/>
      <c r="AB447" s="32"/>
      <c r="AC447" s="32"/>
      <c r="AD447" s="33"/>
      <c r="AE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</row>
    <row r="448" spans="2:49" ht="12.75" hidden="1">
      <c r="B448" s="243" t="s">
        <v>449</v>
      </c>
      <c r="C448" s="246" t="s">
        <v>450</v>
      </c>
      <c r="D448" s="29">
        <v>0.006</v>
      </c>
      <c r="E448" s="296">
        <v>38357</v>
      </c>
      <c r="F448" s="297">
        <v>38416</v>
      </c>
      <c r="G448" s="263">
        <v>0.004</v>
      </c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>
        <v>0.003</v>
      </c>
      <c r="S448" s="78">
        <v>0.003</v>
      </c>
      <c r="T448" s="159">
        <f t="shared" si="38"/>
        <v>0</v>
      </c>
      <c r="U448" s="161" t="str">
        <f t="shared" si="42"/>
        <v>adjust profile</v>
      </c>
      <c r="V448" s="162"/>
      <c r="W448" s="255"/>
      <c r="X448" s="32"/>
      <c r="Y448" s="32"/>
      <c r="Z448" s="32"/>
      <c r="AA448" s="32"/>
      <c r="AB448" s="32"/>
      <c r="AC448" s="32"/>
      <c r="AD448" s="33"/>
      <c r="AE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</row>
    <row r="449" spans="2:49" ht="12.75" hidden="1">
      <c r="B449" s="243" t="s">
        <v>451</v>
      </c>
      <c r="C449" s="246" t="s">
        <v>452</v>
      </c>
      <c r="D449" s="29">
        <v>0.1</v>
      </c>
      <c r="E449" s="296">
        <v>38626</v>
      </c>
      <c r="F449" s="297">
        <v>38991</v>
      </c>
      <c r="G449" s="263">
        <v>0.006</v>
      </c>
      <c r="H449" s="78" t="s">
        <v>604</v>
      </c>
      <c r="I449" s="78" t="s">
        <v>604</v>
      </c>
      <c r="J449" s="78" t="s">
        <v>604</v>
      </c>
      <c r="K449" s="78" t="s">
        <v>604</v>
      </c>
      <c r="L449" s="78" t="s">
        <v>604</v>
      </c>
      <c r="M449" s="78" t="s">
        <v>604</v>
      </c>
      <c r="N449" s="78">
        <v>0.016</v>
      </c>
      <c r="O449" s="78">
        <v>0.016</v>
      </c>
      <c r="P449" s="78">
        <v>0.016</v>
      </c>
      <c r="Q449" s="78">
        <v>0.016</v>
      </c>
      <c r="R449" s="78">
        <v>0.016</v>
      </c>
      <c r="S449" s="78">
        <v>0.02</v>
      </c>
      <c r="T449" s="159">
        <f t="shared" si="38"/>
        <v>0</v>
      </c>
      <c r="U449" s="161" t="str">
        <f t="shared" si="42"/>
        <v>adjust profile</v>
      </c>
      <c r="V449" s="162"/>
      <c r="W449" s="255"/>
      <c r="X449" s="32"/>
      <c r="Y449" s="32"/>
      <c r="Z449" s="32"/>
      <c r="AA449" s="32"/>
      <c r="AB449" s="32"/>
      <c r="AC449" s="32"/>
      <c r="AD449" s="33"/>
      <c r="AE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</row>
    <row r="450" spans="2:49" ht="12.75" hidden="1">
      <c r="B450" s="243" t="s">
        <v>453</v>
      </c>
      <c r="C450" s="246" t="s">
        <v>454</v>
      </c>
      <c r="D450" s="29">
        <v>0.025</v>
      </c>
      <c r="E450" s="296">
        <v>38687</v>
      </c>
      <c r="F450" s="297">
        <v>38687</v>
      </c>
      <c r="G450" s="263"/>
      <c r="H450" s="78" t="s">
        <v>604</v>
      </c>
      <c r="I450" s="78" t="s">
        <v>604</v>
      </c>
      <c r="J450" s="78" t="s">
        <v>604</v>
      </c>
      <c r="K450" s="78" t="s">
        <v>604</v>
      </c>
      <c r="L450" s="78" t="s">
        <v>604</v>
      </c>
      <c r="M450" s="78" t="s">
        <v>604</v>
      </c>
      <c r="N450" s="78" t="s">
        <v>604</v>
      </c>
      <c r="O450" s="78" t="s">
        <v>604</v>
      </c>
      <c r="P450" s="78" t="s">
        <v>604</v>
      </c>
      <c r="Q450" s="78"/>
      <c r="R450" s="78">
        <v>0.025</v>
      </c>
      <c r="S450" s="78"/>
      <c r="T450" s="159">
        <f t="shared" si="38"/>
        <v>0</v>
      </c>
      <c r="U450" s="161" t="str">
        <f t="shared" si="42"/>
        <v>adjust profile</v>
      </c>
      <c r="V450" s="162"/>
      <c r="W450" s="255"/>
      <c r="X450" s="32"/>
      <c r="Y450" s="32"/>
      <c r="Z450" s="32"/>
      <c r="AA450" s="32"/>
      <c r="AB450" s="32"/>
      <c r="AC450" s="32"/>
      <c r="AD450" s="33"/>
      <c r="AE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</row>
    <row r="451" spans="2:49" ht="12.75" hidden="1">
      <c r="B451" s="243" t="s">
        <v>455</v>
      </c>
      <c r="C451" s="247" t="s">
        <v>456</v>
      </c>
      <c r="D451" s="29">
        <v>0.055</v>
      </c>
      <c r="E451" s="296">
        <v>38718</v>
      </c>
      <c r="F451" s="297">
        <v>38749</v>
      </c>
      <c r="G451" s="263"/>
      <c r="H451" s="78" t="s">
        <v>604</v>
      </c>
      <c r="I451" s="78" t="s">
        <v>604</v>
      </c>
      <c r="J451" s="78" t="s">
        <v>604</v>
      </c>
      <c r="K451" s="78" t="s">
        <v>604</v>
      </c>
      <c r="L451" s="78" t="s">
        <v>604</v>
      </c>
      <c r="M451" s="78" t="s">
        <v>604</v>
      </c>
      <c r="N451" s="78" t="s">
        <v>604</v>
      </c>
      <c r="O451" s="78" t="s">
        <v>604</v>
      </c>
      <c r="P451" s="78" t="s">
        <v>604</v>
      </c>
      <c r="Q451" s="78" t="s">
        <v>604</v>
      </c>
      <c r="R451" s="78"/>
      <c r="S451" s="78">
        <v>0.055</v>
      </c>
      <c r="T451" s="159">
        <f t="shared" si="38"/>
        <v>0</v>
      </c>
      <c r="U451" s="161" t="str">
        <f t="shared" si="42"/>
        <v>adjust profile</v>
      </c>
      <c r="V451" s="162"/>
      <c r="W451" s="255"/>
      <c r="X451" s="32"/>
      <c r="Y451" s="32"/>
      <c r="Z451" s="32"/>
      <c r="AA451" s="32"/>
      <c r="AB451" s="32"/>
      <c r="AC451" s="32"/>
      <c r="AD451" s="33"/>
      <c r="AE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</row>
    <row r="452" spans="2:49" ht="12.75" hidden="1">
      <c r="B452" s="243" t="s">
        <v>457</v>
      </c>
      <c r="C452" s="246" t="s">
        <v>458</v>
      </c>
      <c r="D452" s="29">
        <v>0.115</v>
      </c>
      <c r="E452" s="296">
        <v>38718</v>
      </c>
      <c r="F452" s="297">
        <v>38777</v>
      </c>
      <c r="G452" s="263"/>
      <c r="H452" s="78" t="s">
        <v>604</v>
      </c>
      <c r="I452" s="78" t="s">
        <v>604</v>
      </c>
      <c r="J452" s="78" t="s">
        <v>604</v>
      </c>
      <c r="K452" s="78" t="s">
        <v>604</v>
      </c>
      <c r="L452" s="78" t="s">
        <v>604</v>
      </c>
      <c r="M452" s="78" t="s">
        <v>604</v>
      </c>
      <c r="N452" s="78" t="s">
        <v>604</v>
      </c>
      <c r="O452" s="78" t="s">
        <v>604</v>
      </c>
      <c r="P452" s="78" t="s">
        <v>604</v>
      </c>
      <c r="Q452" s="78" t="s">
        <v>604</v>
      </c>
      <c r="R452" s="78">
        <v>0.058</v>
      </c>
      <c r="S452" s="78">
        <v>0.058</v>
      </c>
      <c r="T452" s="159">
        <f t="shared" si="38"/>
        <v>0</v>
      </c>
      <c r="U452" s="161" t="str">
        <f t="shared" si="42"/>
        <v>adjust profile</v>
      </c>
      <c r="V452" s="162"/>
      <c r="W452" s="255"/>
      <c r="X452" s="32"/>
      <c r="Y452" s="32"/>
      <c r="Z452" s="32"/>
      <c r="AA452" s="32"/>
      <c r="AB452" s="32"/>
      <c r="AC452" s="32"/>
      <c r="AD452" s="33"/>
      <c r="AE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</row>
    <row r="453" spans="2:49" ht="12.75" hidden="1">
      <c r="B453" s="243" t="s">
        <v>459</v>
      </c>
      <c r="C453" s="246" t="s">
        <v>460</v>
      </c>
      <c r="D453" s="29">
        <v>0.05</v>
      </c>
      <c r="E453" s="296">
        <v>38565</v>
      </c>
      <c r="F453" s="297">
        <v>38596</v>
      </c>
      <c r="G453" s="263"/>
      <c r="H453" s="78" t="s">
        <v>604</v>
      </c>
      <c r="I453" s="78" t="s">
        <v>604</v>
      </c>
      <c r="J453" s="78" t="s">
        <v>604</v>
      </c>
      <c r="K453" s="78" t="s">
        <v>604</v>
      </c>
      <c r="L453" s="78"/>
      <c r="M453" s="78"/>
      <c r="N453" s="78"/>
      <c r="O453" s="78"/>
      <c r="P453" s="78"/>
      <c r="Q453" s="78"/>
      <c r="R453" s="78"/>
      <c r="S453" s="78">
        <v>0.05</v>
      </c>
      <c r="T453" s="159">
        <f t="shared" si="38"/>
        <v>0</v>
      </c>
      <c r="U453" s="161" t="str">
        <f t="shared" si="42"/>
        <v>adjust profile</v>
      </c>
      <c r="V453" s="162"/>
      <c r="W453" s="255"/>
      <c r="X453" s="32"/>
      <c r="Y453" s="32"/>
      <c r="Z453" s="32"/>
      <c r="AA453" s="32"/>
      <c r="AB453" s="32"/>
      <c r="AC453" s="32"/>
      <c r="AD453" s="33"/>
      <c r="AE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</row>
    <row r="454" spans="2:49" ht="12.75" hidden="1">
      <c r="B454" s="243" t="s">
        <v>461</v>
      </c>
      <c r="C454" s="246" t="s">
        <v>462</v>
      </c>
      <c r="D454" s="29">
        <v>0.1</v>
      </c>
      <c r="E454" s="296">
        <v>38534</v>
      </c>
      <c r="F454" s="297">
        <v>38596</v>
      </c>
      <c r="G454" s="263"/>
      <c r="H454" s="78" t="s">
        <v>604</v>
      </c>
      <c r="I454" s="78" t="s">
        <v>604</v>
      </c>
      <c r="J454" s="78"/>
      <c r="K454" s="78"/>
      <c r="L454" s="78"/>
      <c r="M454" s="78"/>
      <c r="N454" s="78"/>
      <c r="O454" s="78"/>
      <c r="P454" s="78"/>
      <c r="Q454" s="78"/>
      <c r="R454" s="78">
        <v>0.05</v>
      </c>
      <c r="S454" s="78">
        <v>0.05</v>
      </c>
      <c r="T454" s="159">
        <f t="shared" si="38"/>
        <v>0</v>
      </c>
      <c r="U454" s="161" t="str">
        <f t="shared" si="42"/>
        <v>adjust profile</v>
      </c>
      <c r="V454" s="162"/>
      <c r="W454" s="255"/>
      <c r="X454" s="32"/>
      <c r="Y454" s="32"/>
      <c r="Z454" s="32"/>
      <c r="AA454" s="32"/>
      <c r="AB454" s="32"/>
      <c r="AC454" s="32"/>
      <c r="AD454" s="33"/>
      <c r="AE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</row>
    <row r="455" spans="2:49" ht="12.75" hidden="1">
      <c r="B455" s="243" t="s">
        <v>463</v>
      </c>
      <c r="C455" s="246" t="s">
        <v>464</v>
      </c>
      <c r="D455" s="29">
        <v>0.03</v>
      </c>
      <c r="E455" s="296">
        <v>38473</v>
      </c>
      <c r="F455" s="297">
        <v>38534</v>
      </c>
      <c r="G455" s="263">
        <v>0.004</v>
      </c>
      <c r="H455" s="78" t="s">
        <v>604</v>
      </c>
      <c r="I455" s="78">
        <v>0.012</v>
      </c>
      <c r="J455" s="78">
        <v>0.012</v>
      </c>
      <c r="K455" s="78">
        <v>0.003</v>
      </c>
      <c r="L455" s="78"/>
      <c r="M455" s="78"/>
      <c r="N455" s="78"/>
      <c r="O455" s="78"/>
      <c r="P455" s="78"/>
      <c r="Q455" s="78"/>
      <c r="R455" s="78"/>
      <c r="S455" s="78"/>
      <c r="T455" s="159">
        <f>SUM(H455:K455)</f>
        <v>0.027</v>
      </c>
      <c r="U455" s="161" t="str">
        <f t="shared" si="42"/>
        <v>adjust profile</v>
      </c>
      <c r="V455" s="162"/>
      <c r="W455" s="255">
        <v>38488</v>
      </c>
      <c r="X455" s="32"/>
      <c r="Y455" s="32"/>
      <c r="Z455" s="32"/>
      <c r="AA455" s="32"/>
      <c r="AB455" s="32"/>
      <c r="AC455" s="32"/>
      <c r="AD455" s="33"/>
      <c r="AE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</row>
    <row r="456" spans="2:49" ht="12.75" hidden="1">
      <c r="B456" s="243" t="s">
        <v>465</v>
      </c>
      <c r="C456" s="246" t="s">
        <v>466</v>
      </c>
      <c r="D456" s="29">
        <v>0.095</v>
      </c>
      <c r="E456" s="296">
        <v>38626</v>
      </c>
      <c r="F456" s="297">
        <v>38657</v>
      </c>
      <c r="G456" s="263"/>
      <c r="H456" s="78"/>
      <c r="I456" s="78"/>
      <c r="J456" s="78"/>
      <c r="K456" s="78"/>
      <c r="L456" s="78"/>
      <c r="M456" s="78"/>
      <c r="N456" s="78"/>
      <c r="O456" s="78">
        <v>0.048</v>
      </c>
      <c r="P456" s="78">
        <v>0.047</v>
      </c>
      <c r="Q456" s="78"/>
      <c r="R456" s="78"/>
      <c r="S456" s="78"/>
      <c r="T456" s="159">
        <f t="shared" si="38"/>
        <v>0</v>
      </c>
      <c r="U456" s="161" t="str">
        <f t="shared" si="42"/>
        <v>adjust profile</v>
      </c>
      <c r="V456" s="162"/>
      <c r="W456" s="255"/>
      <c r="X456" s="32"/>
      <c r="Y456" s="32"/>
      <c r="Z456" s="32"/>
      <c r="AA456" s="32"/>
      <c r="AB456" s="32"/>
      <c r="AC456" s="32"/>
      <c r="AD456" s="33"/>
      <c r="AE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</row>
    <row r="457" spans="2:49" ht="12.75" hidden="1">
      <c r="B457" s="243" t="s">
        <v>467</v>
      </c>
      <c r="C457" s="246" t="s">
        <v>468</v>
      </c>
      <c r="D457" s="29">
        <v>0.026</v>
      </c>
      <c r="E457" s="296">
        <v>38412</v>
      </c>
      <c r="F457" s="297">
        <v>38412</v>
      </c>
      <c r="G457" s="263">
        <v>-0.014</v>
      </c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>
        <v>0.026</v>
      </c>
      <c r="T457" s="159">
        <f t="shared" si="38"/>
        <v>0</v>
      </c>
      <c r="U457" s="161" t="str">
        <f t="shared" si="42"/>
        <v>adjust profile</v>
      </c>
      <c r="V457" s="162"/>
      <c r="W457" s="255"/>
      <c r="X457" s="32"/>
      <c r="Y457" s="32"/>
      <c r="Z457" s="32"/>
      <c r="AA457" s="32"/>
      <c r="AB457" s="32"/>
      <c r="AC457" s="32"/>
      <c r="AD457" s="33"/>
      <c r="AE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</row>
    <row r="458" spans="2:49" ht="12" customHeight="1">
      <c r="B458" s="189" t="s">
        <v>299</v>
      </c>
      <c r="C458" s="97" t="s">
        <v>250</v>
      </c>
      <c r="D458" s="9">
        <f>SUM(D434:D457)</f>
        <v>0.8100000000000002</v>
      </c>
      <c r="E458" s="298">
        <v>38078</v>
      </c>
      <c r="F458" s="299">
        <v>38412</v>
      </c>
      <c r="G458" s="98">
        <f>SUM(G434:G457)</f>
        <v>0.009000000000000003</v>
      </c>
      <c r="H458" s="250">
        <f>SUM(H434:H457)</f>
        <v>0.003</v>
      </c>
      <c r="I458" s="250">
        <f aca="true" t="shared" si="43" ref="I458:S458">SUM(I434:I457)</f>
        <v>0.035</v>
      </c>
      <c r="J458" s="250">
        <f t="shared" si="43"/>
        <v>0.05399999999999999</v>
      </c>
      <c r="K458" s="250">
        <f t="shared" si="43"/>
        <v>0.027</v>
      </c>
      <c r="L458" s="250">
        <f t="shared" si="43"/>
        <v>0.020999999999999998</v>
      </c>
      <c r="M458" s="250">
        <f t="shared" si="43"/>
        <v>0.022000000000000006</v>
      </c>
      <c r="N458" s="250">
        <f t="shared" si="43"/>
        <v>0.024</v>
      </c>
      <c r="O458" s="250">
        <f t="shared" si="43"/>
        <v>0.083</v>
      </c>
      <c r="P458" s="250">
        <f t="shared" si="43"/>
        <v>0.067</v>
      </c>
      <c r="Q458" s="250">
        <f t="shared" si="43"/>
        <v>0.02</v>
      </c>
      <c r="R458" s="250">
        <f t="shared" si="43"/>
        <v>0.15600000000000003</v>
      </c>
      <c r="S458" s="250">
        <f t="shared" si="43"/>
        <v>0.28900000000000003</v>
      </c>
      <c r="T458" s="159">
        <f t="shared" si="38"/>
        <v>0.038000000000000006</v>
      </c>
      <c r="U458" s="161" t="str">
        <f t="shared" si="42"/>
        <v>adjust profile</v>
      </c>
      <c r="V458" s="162"/>
      <c r="W458" s="255"/>
      <c r="X458" s="155">
        <f>SUM(X434:X457)</f>
        <v>0</v>
      </c>
      <c r="Y458" s="155">
        <f aca="true" t="shared" si="44" ref="Y458:AE458">SUM(Y434:Y457)</f>
        <v>0</v>
      </c>
      <c r="Z458" s="155">
        <f t="shared" si="44"/>
        <v>0</v>
      </c>
      <c r="AA458" s="155">
        <f t="shared" si="44"/>
        <v>0</v>
      </c>
      <c r="AB458" s="155">
        <f t="shared" si="44"/>
        <v>0</v>
      </c>
      <c r="AC458" s="155">
        <f t="shared" si="44"/>
        <v>0</v>
      </c>
      <c r="AD458" s="155">
        <f t="shared" si="44"/>
        <v>0</v>
      </c>
      <c r="AE458" s="155">
        <f t="shared" si="44"/>
        <v>0</v>
      </c>
      <c r="AG458" s="155">
        <f aca="true" t="shared" si="45" ref="AG458:AW458">SUM(AG434:AG457)</f>
        <v>0</v>
      </c>
      <c r="AH458" s="155">
        <f t="shared" si="45"/>
        <v>0</v>
      </c>
      <c r="AI458" s="155">
        <f t="shared" si="45"/>
        <v>0</v>
      </c>
      <c r="AJ458" s="155">
        <f t="shared" si="45"/>
        <v>0</v>
      </c>
      <c r="AK458" s="155">
        <f t="shared" si="45"/>
        <v>0</v>
      </c>
      <c r="AL458" s="155">
        <f t="shared" si="45"/>
        <v>0</v>
      </c>
      <c r="AM458" s="155">
        <f t="shared" si="45"/>
        <v>0</v>
      </c>
      <c r="AN458" s="155">
        <f t="shared" si="45"/>
        <v>0</v>
      </c>
      <c r="AO458" s="155">
        <f t="shared" si="45"/>
        <v>0</v>
      </c>
      <c r="AP458" s="155">
        <f t="shared" si="45"/>
        <v>0</v>
      </c>
      <c r="AQ458" s="155">
        <f t="shared" si="45"/>
        <v>0</v>
      </c>
      <c r="AR458" s="155">
        <f t="shared" si="45"/>
        <v>0</v>
      </c>
      <c r="AS458" s="155">
        <f t="shared" si="45"/>
        <v>0</v>
      </c>
      <c r="AT458" s="155">
        <f t="shared" si="45"/>
        <v>0</v>
      </c>
      <c r="AU458" s="155">
        <f t="shared" si="45"/>
        <v>0</v>
      </c>
      <c r="AV458" s="155">
        <f t="shared" si="45"/>
        <v>0</v>
      </c>
      <c r="AW458" s="155">
        <f t="shared" si="45"/>
        <v>0</v>
      </c>
    </row>
    <row r="459" spans="2:49" ht="14.25" customHeight="1" hidden="1">
      <c r="B459" s="243" t="s">
        <v>469</v>
      </c>
      <c r="C459" s="246" t="s">
        <v>605</v>
      </c>
      <c r="D459" s="29">
        <v>0</v>
      </c>
      <c r="E459" s="296" t="s">
        <v>111</v>
      </c>
      <c r="F459" s="297" t="s">
        <v>111</v>
      </c>
      <c r="G459" s="9"/>
      <c r="H459" s="86" t="s">
        <v>604</v>
      </c>
      <c r="I459" s="12" t="s">
        <v>604</v>
      </c>
      <c r="J459" s="12" t="s">
        <v>604</v>
      </c>
      <c r="K459" s="12" t="s">
        <v>604</v>
      </c>
      <c r="L459" s="12" t="s">
        <v>604</v>
      </c>
      <c r="M459" s="12" t="s">
        <v>604</v>
      </c>
      <c r="N459" s="12" t="s">
        <v>604</v>
      </c>
      <c r="O459" s="12" t="s">
        <v>604</v>
      </c>
      <c r="P459" s="12" t="s">
        <v>604</v>
      </c>
      <c r="Q459" s="12" t="s">
        <v>604</v>
      </c>
      <c r="R459" s="12" t="s">
        <v>604</v>
      </c>
      <c r="S459" s="90" t="s">
        <v>604</v>
      </c>
      <c r="T459" s="159">
        <f t="shared" si="38"/>
        <v>0</v>
      </c>
      <c r="U459" s="161">
        <f aca="true" t="shared" si="46" ref="U459:U474">IF(SUM(H459:S459)-D459=0,"","adjust profile")</f>
      </c>
      <c r="V459" s="162"/>
      <c r="W459" s="255"/>
      <c r="X459" s="32"/>
      <c r="Y459" s="32"/>
      <c r="Z459" s="32"/>
      <c r="AA459" s="32"/>
      <c r="AB459" s="32"/>
      <c r="AC459" s="32"/>
      <c r="AD459" s="33"/>
      <c r="AE459" s="50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</row>
    <row r="460" spans="2:49" ht="12.75" hidden="1">
      <c r="B460" s="243" t="s">
        <v>470</v>
      </c>
      <c r="C460" s="246" t="s">
        <v>471</v>
      </c>
      <c r="D460" s="29">
        <v>0.06</v>
      </c>
      <c r="E460" s="296">
        <v>37834</v>
      </c>
      <c r="F460" s="297">
        <v>37956</v>
      </c>
      <c r="G460" s="9"/>
      <c r="H460" s="86"/>
      <c r="I460" s="12"/>
      <c r="J460" s="12"/>
      <c r="K460" s="12"/>
      <c r="L460" s="12"/>
      <c r="M460" s="12"/>
      <c r="N460" s="12"/>
      <c r="O460" s="12"/>
      <c r="P460" s="12"/>
      <c r="Q460" s="12"/>
      <c r="R460" s="12">
        <v>0.03</v>
      </c>
      <c r="S460" s="12">
        <v>0.03</v>
      </c>
      <c r="T460" s="159">
        <f t="shared" si="38"/>
        <v>0</v>
      </c>
      <c r="U460" s="161">
        <f t="shared" si="46"/>
      </c>
      <c r="V460" s="162"/>
      <c r="W460" s="255"/>
      <c r="X460" s="32"/>
      <c r="Y460" s="32"/>
      <c r="Z460" s="32"/>
      <c r="AA460" s="32"/>
      <c r="AB460" s="32"/>
      <c r="AC460" s="32"/>
      <c r="AD460" s="33"/>
      <c r="AE460" s="50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</row>
    <row r="461" spans="2:49" ht="12.75" hidden="1">
      <c r="B461" s="243" t="s">
        <v>472</v>
      </c>
      <c r="C461" s="246" t="s">
        <v>606</v>
      </c>
      <c r="D461" s="29">
        <v>0</v>
      </c>
      <c r="E461" s="296" t="s">
        <v>111</v>
      </c>
      <c r="F461" s="297" t="s">
        <v>111</v>
      </c>
      <c r="G461" s="9"/>
      <c r="H461" s="86" t="s">
        <v>604</v>
      </c>
      <c r="I461" s="12" t="s">
        <v>604</v>
      </c>
      <c r="J461" s="12" t="s">
        <v>604</v>
      </c>
      <c r="K461" s="12" t="s">
        <v>604</v>
      </c>
      <c r="L461" s="12" t="s">
        <v>604</v>
      </c>
      <c r="M461" s="12" t="s">
        <v>604</v>
      </c>
      <c r="N461" s="12" t="s">
        <v>604</v>
      </c>
      <c r="O461" s="12" t="s">
        <v>604</v>
      </c>
      <c r="P461" s="12" t="s">
        <v>604</v>
      </c>
      <c r="Q461" s="12" t="s">
        <v>604</v>
      </c>
      <c r="R461" s="12" t="s">
        <v>604</v>
      </c>
      <c r="S461" s="12" t="s">
        <v>604</v>
      </c>
      <c r="T461" s="159">
        <f t="shared" si="38"/>
        <v>0</v>
      </c>
      <c r="U461" s="161">
        <f t="shared" si="46"/>
      </c>
      <c r="V461" s="162"/>
      <c r="W461" s="255"/>
      <c r="X461" s="32"/>
      <c r="Y461" s="32"/>
      <c r="Z461" s="32"/>
      <c r="AA461" s="32"/>
      <c r="AB461" s="32"/>
      <c r="AC461" s="32"/>
      <c r="AD461" s="33"/>
      <c r="AE461" s="50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</row>
    <row r="462" spans="2:49" ht="12.75" hidden="1">
      <c r="B462" s="243" t="s">
        <v>473</v>
      </c>
      <c r="C462" s="246" t="s">
        <v>474</v>
      </c>
      <c r="D462" s="29">
        <v>0.02</v>
      </c>
      <c r="E462" s="296">
        <v>38078</v>
      </c>
      <c r="F462" s="297">
        <v>38412</v>
      </c>
      <c r="G462" s="9">
        <v>0.005</v>
      </c>
      <c r="H462" s="86"/>
      <c r="I462" s="12"/>
      <c r="J462" s="12">
        <v>0.002</v>
      </c>
      <c r="K462" s="12">
        <v>0.002</v>
      </c>
      <c r="L462" s="12">
        <v>0.002</v>
      </c>
      <c r="M462" s="12">
        <v>0.002</v>
      </c>
      <c r="N462" s="12">
        <v>0.002</v>
      </c>
      <c r="O462" s="12">
        <v>0.002</v>
      </c>
      <c r="P462" s="12">
        <v>0.002</v>
      </c>
      <c r="Q462" s="12">
        <v>0.002</v>
      </c>
      <c r="R462" s="12">
        <v>0.002</v>
      </c>
      <c r="S462" s="12">
        <v>0.002</v>
      </c>
      <c r="T462" s="159">
        <f t="shared" si="38"/>
        <v>0</v>
      </c>
      <c r="U462" s="161" t="str">
        <f t="shared" si="46"/>
        <v>adjust profile</v>
      </c>
      <c r="V462" s="162"/>
      <c r="W462" s="255"/>
      <c r="X462" s="32"/>
      <c r="Y462" s="32"/>
      <c r="Z462" s="32"/>
      <c r="AA462" s="32"/>
      <c r="AB462" s="32"/>
      <c r="AC462" s="32"/>
      <c r="AD462" s="33"/>
      <c r="AE462" s="50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</row>
    <row r="463" spans="2:49" ht="12.75" hidden="1">
      <c r="B463" s="243" t="s">
        <v>475</v>
      </c>
      <c r="C463" s="246" t="s">
        <v>607</v>
      </c>
      <c r="D463" s="29">
        <v>0.008</v>
      </c>
      <c r="E463" s="296">
        <v>37987</v>
      </c>
      <c r="F463" s="297">
        <v>38139</v>
      </c>
      <c r="G463" s="9"/>
      <c r="H463" s="86">
        <v>0.002</v>
      </c>
      <c r="I463" s="12">
        <v>0.002</v>
      </c>
      <c r="J463" s="12">
        <v>0.002</v>
      </c>
      <c r="K463" s="12">
        <v>0.002</v>
      </c>
      <c r="L463" s="12"/>
      <c r="M463" s="12"/>
      <c r="N463" s="12"/>
      <c r="O463" s="12"/>
      <c r="P463" s="12"/>
      <c r="Q463" s="12"/>
      <c r="R463" s="12"/>
      <c r="S463" s="12"/>
      <c r="T463" s="159">
        <f t="shared" si="38"/>
        <v>0.004</v>
      </c>
      <c r="U463" s="161">
        <f t="shared" si="46"/>
      </c>
      <c r="V463" s="162"/>
      <c r="W463" s="255"/>
      <c r="X463" s="32"/>
      <c r="Y463" s="32"/>
      <c r="Z463" s="32"/>
      <c r="AA463" s="32"/>
      <c r="AB463" s="32"/>
      <c r="AC463" s="32"/>
      <c r="AD463" s="33"/>
      <c r="AE463" s="50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</row>
    <row r="464" spans="2:49" ht="12.75" hidden="1">
      <c r="B464" s="243" t="s">
        <v>476</v>
      </c>
      <c r="C464" s="246" t="s">
        <v>477</v>
      </c>
      <c r="D464" s="29">
        <v>0.004</v>
      </c>
      <c r="E464" s="296">
        <v>37895</v>
      </c>
      <c r="F464" s="297">
        <v>38412</v>
      </c>
      <c r="G464" s="9">
        <v>0.004</v>
      </c>
      <c r="H464" s="86">
        <v>0.001</v>
      </c>
      <c r="I464" s="12">
        <v>0.001</v>
      </c>
      <c r="J464" s="12">
        <v>0.001</v>
      </c>
      <c r="K464" s="12">
        <v>0.001</v>
      </c>
      <c r="L464" s="12"/>
      <c r="M464" s="12"/>
      <c r="N464" s="12"/>
      <c r="O464" s="12"/>
      <c r="P464" s="12"/>
      <c r="Q464" s="12"/>
      <c r="R464" s="12"/>
      <c r="S464" s="12"/>
      <c r="T464" s="159">
        <f t="shared" si="38"/>
        <v>0.002</v>
      </c>
      <c r="U464" s="161">
        <f t="shared" si="46"/>
      </c>
      <c r="V464" s="162"/>
      <c r="W464" s="255"/>
      <c r="X464" s="32"/>
      <c r="Y464" s="32"/>
      <c r="Z464" s="32"/>
      <c r="AA464" s="32"/>
      <c r="AB464" s="32"/>
      <c r="AC464" s="32"/>
      <c r="AD464" s="33"/>
      <c r="AE464" s="50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</row>
    <row r="465" spans="2:49" ht="12.75" hidden="1">
      <c r="B465" s="243" t="s">
        <v>478</v>
      </c>
      <c r="C465" s="246" t="s">
        <v>479</v>
      </c>
      <c r="D465" s="29">
        <v>0.005</v>
      </c>
      <c r="E465" s="296">
        <v>38292</v>
      </c>
      <c r="F465" s="297">
        <v>38416</v>
      </c>
      <c r="G465" s="9">
        <v>0.003</v>
      </c>
      <c r="H465" s="86">
        <v>0.001</v>
      </c>
      <c r="I465" s="12">
        <v>0.001</v>
      </c>
      <c r="J465" s="12">
        <v>0.001</v>
      </c>
      <c r="K465" s="12">
        <v>0.001</v>
      </c>
      <c r="L465" s="12">
        <v>0.001</v>
      </c>
      <c r="M465" s="12"/>
      <c r="N465" s="12"/>
      <c r="O465" s="12"/>
      <c r="P465" s="12"/>
      <c r="Q465" s="12"/>
      <c r="R465" s="12"/>
      <c r="S465" s="12"/>
      <c r="T465" s="159">
        <f t="shared" si="38"/>
        <v>0.002</v>
      </c>
      <c r="U465" s="161">
        <f t="shared" si="46"/>
      </c>
      <c r="V465" s="162"/>
      <c r="W465" s="255"/>
      <c r="X465" s="32"/>
      <c r="Y465" s="32"/>
      <c r="Z465" s="32"/>
      <c r="AA465" s="32"/>
      <c r="AB465" s="32"/>
      <c r="AC465" s="32"/>
      <c r="AD465" s="33"/>
      <c r="AE465" s="50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</row>
    <row r="466" spans="2:49" ht="12.75" hidden="1">
      <c r="B466" s="243" t="s">
        <v>480</v>
      </c>
      <c r="C466" s="246" t="s">
        <v>608</v>
      </c>
      <c r="D466" s="29">
        <v>0.007</v>
      </c>
      <c r="E466" s="296">
        <v>38357</v>
      </c>
      <c r="F466" s="297">
        <v>38412</v>
      </c>
      <c r="G466" s="9">
        <v>0</v>
      </c>
      <c r="H466" s="86">
        <v>0.004</v>
      </c>
      <c r="I466" s="12">
        <v>0.004</v>
      </c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59">
        <f t="shared" si="38"/>
        <v>0.008</v>
      </c>
      <c r="U466" s="161" t="str">
        <f t="shared" si="46"/>
        <v>adjust profile</v>
      </c>
      <c r="V466" s="162"/>
      <c r="W466" s="255"/>
      <c r="X466" s="32"/>
      <c r="Y466" s="32"/>
      <c r="Z466" s="32"/>
      <c r="AA466" s="32"/>
      <c r="AB466" s="32"/>
      <c r="AC466" s="32"/>
      <c r="AD466" s="33"/>
      <c r="AE466" s="50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</row>
    <row r="467" spans="2:49" ht="12.75" hidden="1">
      <c r="B467" s="243" t="s">
        <v>481</v>
      </c>
      <c r="C467" s="246" t="s">
        <v>609</v>
      </c>
      <c r="D467" s="29">
        <v>0.005</v>
      </c>
      <c r="E467" s="296">
        <v>38353</v>
      </c>
      <c r="F467" s="297">
        <v>111460</v>
      </c>
      <c r="G467" s="9">
        <v>0.004</v>
      </c>
      <c r="H467" s="86">
        <v>0.005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59">
        <f t="shared" si="38"/>
        <v>0.005</v>
      </c>
      <c r="U467" s="161">
        <f t="shared" si="46"/>
      </c>
      <c r="V467" s="162"/>
      <c r="W467" s="255"/>
      <c r="X467" s="32"/>
      <c r="Y467" s="32"/>
      <c r="Z467" s="32"/>
      <c r="AA467" s="32"/>
      <c r="AB467" s="32"/>
      <c r="AC467" s="32"/>
      <c r="AD467" s="33"/>
      <c r="AE467" s="50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</row>
    <row r="468" spans="2:49" ht="12.75" hidden="1">
      <c r="B468" s="243" t="s">
        <v>482</v>
      </c>
      <c r="C468" s="246" t="s">
        <v>610</v>
      </c>
      <c r="D468" s="29">
        <v>0.59</v>
      </c>
      <c r="E468" s="296">
        <v>38416</v>
      </c>
      <c r="F468" s="297">
        <v>38508</v>
      </c>
      <c r="G468" s="9">
        <v>0.003</v>
      </c>
      <c r="H468" s="86">
        <v>0.197</v>
      </c>
      <c r="I468" s="12">
        <v>0.197</v>
      </c>
      <c r="J468" s="12">
        <v>0.197</v>
      </c>
      <c r="K468" s="12"/>
      <c r="L468" s="12"/>
      <c r="M468" s="12"/>
      <c r="N468" s="12"/>
      <c r="O468" s="12"/>
      <c r="P468" s="12"/>
      <c r="Q468" s="12"/>
      <c r="R468" s="12"/>
      <c r="S468" s="12"/>
      <c r="T468" s="159">
        <f aca="true" t="shared" si="47" ref="T468:T513">SUM(H468:I468)</f>
        <v>0.394</v>
      </c>
      <c r="U468" s="161" t="str">
        <f t="shared" si="46"/>
        <v>adjust profile</v>
      </c>
      <c r="V468" s="162"/>
      <c r="W468" s="255"/>
      <c r="X468" s="32"/>
      <c r="Y468" s="32"/>
      <c r="Z468" s="32"/>
      <c r="AA468" s="32"/>
      <c r="AB468" s="32"/>
      <c r="AC468" s="32"/>
      <c r="AD468" s="33"/>
      <c r="AE468" s="50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</row>
    <row r="469" spans="2:49" ht="12.75" hidden="1">
      <c r="B469" s="243" t="s">
        <v>483</v>
      </c>
      <c r="C469" s="246" t="s">
        <v>484</v>
      </c>
      <c r="D469" s="29">
        <v>0.06</v>
      </c>
      <c r="E469" s="296" t="s">
        <v>448</v>
      </c>
      <c r="F469" s="297" t="s">
        <v>448</v>
      </c>
      <c r="G469" s="9">
        <v>0</v>
      </c>
      <c r="H469" s="86" t="s">
        <v>604</v>
      </c>
      <c r="I469" s="12" t="s">
        <v>604</v>
      </c>
      <c r="J469" s="12" t="s">
        <v>604</v>
      </c>
      <c r="K469" s="12" t="s">
        <v>604</v>
      </c>
      <c r="L469" s="12" t="s">
        <v>604</v>
      </c>
      <c r="M469" s="12" t="s">
        <v>604</v>
      </c>
      <c r="N469" s="12" t="s">
        <v>604</v>
      </c>
      <c r="O469" s="12" t="s">
        <v>604</v>
      </c>
      <c r="P469" s="12" t="s">
        <v>604</v>
      </c>
      <c r="Q469" s="12" t="s">
        <v>604</v>
      </c>
      <c r="R469" s="12" t="s">
        <v>604</v>
      </c>
      <c r="S469" s="12">
        <v>0.06</v>
      </c>
      <c r="T469" s="159">
        <f t="shared" si="47"/>
        <v>0</v>
      </c>
      <c r="U469" s="161">
        <f t="shared" si="46"/>
      </c>
      <c r="V469" s="162"/>
      <c r="W469" s="255"/>
      <c r="X469" s="32"/>
      <c r="Y469" s="32"/>
      <c r="Z469" s="32"/>
      <c r="AA469" s="32"/>
      <c r="AB469" s="32"/>
      <c r="AC469" s="32"/>
      <c r="AD469" s="33"/>
      <c r="AE469" s="50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</row>
    <row r="470" spans="2:49" ht="12.75" hidden="1">
      <c r="B470" s="243" t="s">
        <v>485</v>
      </c>
      <c r="C470" s="246" t="s">
        <v>611</v>
      </c>
      <c r="D470" s="29">
        <v>0.24</v>
      </c>
      <c r="E470" s="296">
        <v>38626</v>
      </c>
      <c r="F470" s="297">
        <v>38718</v>
      </c>
      <c r="G470" s="9">
        <v>0.002</v>
      </c>
      <c r="H470" s="86" t="s">
        <v>604</v>
      </c>
      <c r="I470" s="12" t="s">
        <v>604</v>
      </c>
      <c r="J470" s="12" t="s">
        <v>604</v>
      </c>
      <c r="K470" s="12" t="s">
        <v>604</v>
      </c>
      <c r="L470" s="12" t="s">
        <v>604</v>
      </c>
      <c r="M470" s="12" t="s">
        <v>604</v>
      </c>
      <c r="N470" s="12" t="s">
        <v>604</v>
      </c>
      <c r="O470" s="12"/>
      <c r="P470" s="12">
        <v>0.08</v>
      </c>
      <c r="Q470" s="12">
        <v>0.08</v>
      </c>
      <c r="R470" s="12">
        <v>0.08</v>
      </c>
      <c r="S470" s="12"/>
      <c r="T470" s="159">
        <f t="shared" si="47"/>
        <v>0</v>
      </c>
      <c r="U470" s="161">
        <f t="shared" si="46"/>
      </c>
      <c r="V470" s="162"/>
      <c r="W470" s="255"/>
      <c r="X470" s="32"/>
      <c r="Y470" s="32"/>
      <c r="Z470" s="32"/>
      <c r="AA470" s="32"/>
      <c r="AB470" s="32"/>
      <c r="AC470" s="32"/>
      <c r="AD470" s="33"/>
      <c r="AE470" s="50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</row>
    <row r="471" spans="2:49" ht="12.75" hidden="1">
      <c r="B471" s="243" t="s">
        <v>486</v>
      </c>
      <c r="C471" s="246" t="s">
        <v>487</v>
      </c>
      <c r="D471" s="29">
        <v>0.005</v>
      </c>
      <c r="E471" s="296">
        <v>39022</v>
      </c>
      <c r="F471" s="297">
        <v>39114</v>
      </c>
      <c r="G471" s="9">
        <v>0.001</v>
      </c>
      <c r="H471" s="86" t="s">
        <v>604</v>
      </c>
      <c r="I471" s="12" t="s">
        <v>604</v>
      </c>
      <c r="J471" s="12" t="s">
        <v>604</v>
      </c>
      <c r="K471" s="12" t="s">
        <v>604</v>
      </c>
      <c r="L471" s="12" t="s">
        <v>604</v>
      </c>
      <c r="M471" s="12" t="s">
        <v>604</v>
      </c>
      <c r="N471" s="12" t="s">
        <v>604</v>
      </c>
      <c r="O471" s="12" t="s">
        <v>604</v>
      </c>
      <c r="P471" s="12" t="s">
        <v>604</v>
      </c>
      <c r="Q471" s="12" t="s">
        <v>604</v>
      </c>
      <c r="R471" s="12" t="s">
        <v>604</v>
      </c>
      <c r="S471" s="12">
        <v>0.005</v>
      </c>
      <c r="T471" s="159">
        <f t="shared" si="47"/>
        <v>0</v>
      </c>
      <c r="U471" s="161">
        <f t="shared" si="46"/>
      </c>
      <c r="V471" s="162"/>
      <c r="W471" s="255"/>
      <c r="X471" s="32"/>
      <c r="Y471" s="32"/>
      <c r="Z471" s="32"/>
      <c r="AA471" s="32"/>
      <c r="AB471" s="32"/>
      <c r="AC471" s="32"/>
      <c r="AD471" s="33"/>
      <c r="AE471" s="50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</row>
    <row r="472" spans="2:49" ht="12.75" hidden="1">
      <c r="B472" s="243" t="s">
        <v>488</v>
      </c>
      <c r="C472" s="246" t="s">
        <v>612</v>
      </c>
      <c r="D472" s="29">
        <v>0.47</v>
      </c>
      <c r="E472" s="296">
        <v>38687</v>
      </c>
      <c r="F472" s="297">
        <v>38777</v>
      </c>
      <c r="G472" s="9">
        <v>0.001</v>
      </c>
      <c r="H472" s="86" t="s">
        <v>604</v>
      </c>
      <c r="I472" s="12" t="s">
        <v>604</v>
      </c>
      <c r="J472" s="12" t="s">
        <v>604</v>
      </c>
      <c r="K472" s="12" t="s">
        <v>604</v>
      </c>
      <c r="L472" s="12" t="s">
        <v>604</v>
      </c>
      <c r="M472" s="12" t="s">
        <v>604</v>
      </c>
      <c r="N472" s="12" t="s">
        <v>604</v>
      </c>
      <c r="O472" s="12" t="s">
        <v>604</v>
      </c>
      <c r="P472" s="12" t="s">
        <v>604</v>
      </c>
      <c r="Q472" s="12">
        <v>0.157</v>
      </c>
      <c r="R472" s="12">
        <v>0.157</v>
      </c>
      <c r="S472" s="12">
        <v>0.157</v>
      </c>
      <c r="T472" s="159">
        <f t="shared" si="47"/>
        <v>0</v>
      </c>
      <c r="U472" s="161" t="str">
        <f t="shared" si="46"/>
        <v>adjust profile</v>
      </c>
      <c r="V472" s="162"/>
      <c r="W472" s="255"/>
      <c r="X472" s="32"/>
      <c r="Y472" s="32"/>
      <c r="Z472" s="32"/>
      <c r="AA472" s="32"/>
      <c r="AB472" s="32"/>
      <c r="AC472" s="32"/>
      <c r="AD472" s="33"/>
      <c r="AE472" s="50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</row>
    <row r="473" spans="2:49" ht="12.75" hidden="1">
      <c r="B473" s="243" t="s">
        <v>489</v>
      </c>
      <c r="C473" s="246" t="s">
        <v>613</v>
      </c>
      <c r="D473" s="29">
        <v>0.1</v>
      </c>
      <c r="E473" s="296">
        <v>38657</v>
      </c>
      <c r="F473" s="297">
        <v>38749</v>
      </c>
      <c r="G473" s="9"/>
      <c r="H473" s="86" t="s">
        <v>604</v>
      </c>
      <c r="I473" s="12" t="s">
        <v>604</v>
      </c>
      <c r="J473" s="12" t="s">
        <v>604</v>
      </c>
      <c r="K473" s="12" t="s">
        <v>604</v>
      </c>
      <c r="L473" s="12" t="s">
        <v>604</v>
      </c>
      <c r="M473" s="12" t="s">
        <v>604</v>
      </c>
      <c r="N473" s="12" t="s">
        <v>604</v>
      </c>
      <c r="O473" s="12" t="s">
        <v>604</v>
      </c>
      <c r="P473" s="12"/>
      <c r="Q473" s="12">
        <v>0.033</v>
      </c>
      <c r="R473" s="12">
        <v>0.033</v>
      </c>
      <c r="S473" s="12">
        <v>0.033</v>
      </c>
      <c r="T473" s="159">
        <f t="shared" si="47"/>
        <v>0</v>
      </c>
      <c r="U473" s="161" t="str">
        <f t="shared" si="46"/>
        <v>adjust profile</v>
      </c>
      <c r="V473" s="162"/>
      <c r="W473" s="255"/>
      <c r="X473" s="32"/>
      <c r="Y473" s="32"/>
      <c r="Z473" s="32"/>
      <c r="AA473" s="32"/>
      <c r="AB473" s="32"/>
      <c r="AC473" s="32"/>
      <c r="AD473" s="33"/>
      <c r="AE473" s="50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</row>
    <row r="474" spans="2:49" ht="12.75">
      <c r="B474" s="189" t="s">
        <v>299</v>
      </c>
      <c r="C474" s="97" t="s">
        <v>249</v>
      </c>
      <c r="D474" s="9">
        <f>SUM(D459:D473)</f>
        <v>1.5739999999999998</v>
      </c>
      <c r="E474" s="298">
        <v>38078</v>
      </c>
      <c r="F474" s="299">
        <v>38412</v>
      </c>
      <c r="G474" s="98">
        <f aca="true" t="shared" si="48" ref="G474:S474">SUM(G459:G473)</f>
        <v>0.023</v>
      </c>
      <c r="H474" s="156">
        <f t="shared" si="48"/>
        <v>0.21000000000000002</v>
      </c>
      <c r="I474" s="157">
        <f t="shared" si="48"/>
        <v>0.20500000000000002</v>
      </c>
      <c r="J474" s="157">
        <f t="shared" si="48"/>
        <v>0.203</v>
      </c>
      <c r="K474" s="157">
        <f t="shared" si="48"/>
        <v>0.006</v>
      </c>
      <c r="L474" s="157">
        <f t="shared" si="48"/>
        <v>0.003</v>
      </c>
      <c r="M474" s="157">
        <f t="shared" si="48"/>
        <v>0.002</v>
      </c>
      <c r="N474" s="157">
        <f t="shared" si="48"/>
        <v>0.002</v>
      </c>
      <c r="O474" s="157">
        <f t="shared" si="48"/>
        <v>0.002</v>
      </c>
      <c r="P474" s="157">
        <f t="shared" si="48"/>
        <v>0.082</v>
      </c>
      <c r="Q474" s="157">
        <f t="shared" si="48"/>
        <v>0.272</v>
      </c>
      <c r="R474" s="157">
        <f t="shared" si="48"/>
        <v>0.30200000000000005</v>
      </c>
      <c r="S474" s="157">
        <f t="shared" si="48"/>
        <v>0.28700000000000003</v>
      </c>
      <c r="T474" s="159">
        <f t="shared" si="47"/>
        <v>0.41500000000000004</v>
      </c>
      <c r="U474" s="161" t="str">
        <f t="shared" si="46"/>
        <v>adjust profile</v>
      </c>
      <c r="V474" s="162"/>
      <c r="W474" s="255"/>
      <c r="X474" s="155">
        <f aca="true" t="shared" si="49" ref="X474:AE474">SUM(X459:X473)</f>
        <v>0</v>
      </c>
      <c r="Y474" s="155">
        <f t="shared" si="49"/>
        <v>0</v>
      </c>
      <c r="Z474" s="155">
        <f t="shared" si="49"/>
        <v>0</v>
      </c>
      <c r="AA474" s="155">
        <f t="shared" si="49"/>
        <v>0</v>
      </c>
      <c r="AB474" s="155">
        <f t="shared" si="49"/>
        <v>0</v>
      </c>
      <c r="AC474" s="155">
        <f t="shared" si="49"/>
        <v>0</v>
      </c>
      <c r="AD474" s="155">
        <f t="shared" si="49"/>
        <v>0</v>
      </c>
      <c r="AE474" s="155">
        <f t="shared" si="49"/>
        <v>0</v>
      </c>
      <c r="AG474" s="155">
        <f aca="true" t="shared" si="50" ref="AG474:AW474">SUM(AG459:AG473)</f>
        <v>0</v>
      </c>
      <c r="AH474" s="155">
        <f t="shared" si="50"/>
        <v>0</v>
      </c>
      <c r="AI474" s="155">
        <f t="shared" si="50"/>
        <v>0</v>
      </c>
      <c r="AJ474" s="155">
        <f t="shared" si="50"/>
        <v>0</v>
      </c>
      <c r="AK474" s="155">
        <f t="shared" si="50"/>
        <v>0</v>
      </c>
      <c r="AL474" s="155">
        <f t="shared" si="50"/>
        <v>0</v>
      </c>
      <c r="AM474" s="155">
        <f t="shared" si="50"/>
        <v>0</v>
      </c>
      <c r="AN474" s="155">
        <f t="shared" si="50"/>
        <v>0</v>
      </c>
      <c r="AO474" s="155">
        <f t="shared" si="50"/>
        <v>0</v>
      </c>
      <c r="AP474" s="155">
        <f t="shared" si="50"/>
        <v>0</v>
      </c>
      <c r="AQ474" s="155">
        <f t="shared" si="50"/>
        <v>0</v>
      </c>
      <c r="AR474" s="155">
        <f t="shared" si="50"/>
        <v>0</v>
      </c>
      <c r="AS474" s="155">
        <f t="shared" si="50"/>
        <v>0</v>
      </c>
      <c r="AT474" s="155">
        <f t="shared" si="50"/>
        <v>0</v>
      </c>
      <c r="AU474" s="155">
        <f t="shared" si="50"/>
        <v>0</v>
      </c>
      <c r="AV474" s="155">
        <f t="shared" si="50"/>
        <v>0</v>
      </c>
      <c r="AW474" s="155">
        <f t="shared" si="50"/>
        <v>0</v>
      </c>
    </row>
    <row r="475" spans="2:49" ht="14.25" customHeight="1" hidden="1">
      <c r="B475" s="243" t="s">
        <v>542</v>
      </c>
      <c r="C475" s="244" t="s">
        <v>543</v>
      </c>
      <c r="D475" s="29">
        <v>0.016</v>
      </c>
      <c r="E475" s="296">
        <v>37926</v>
      </c>
      <c r="F475" s="297">
        <v>38357</v>
      </c>
      <c r="G475" s="9">
        <v>0.003</v>
      </c>
      <c r="H475" s="86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59">
        <f t="shared" si="47"/>
        <v>0</v>
      </c>
      <c r="U475" s="161" t="str">
        <f aca="true" t="shared" si="51" ref="U475:U480">IF(SUM(H475:S475)-D475=0,"","adjust profile")</f>
        <v>adjust profile</v>
      </c>
      <c r="V475" s="162"/>
      <c r="W475" s="255"/>
      <c r="X475" s="32"/>
      <c r="Y475" s="32"/>
      <c r="Z475" s="32"/>
      <c r="AA475" s="32"/>
      <c r="AB475" s="32"/>
      <c r="AC475" s="32"/>
      <c r="AD475" s="33"/>
      <c r="AE475" s="50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</row>
    <row r="476" spans="2:49" ht="13.5" customHeight="1" hidden="1">
      <c r="B476" s="243" t="s">
        <v>544</v>
      </c>
      <c r="C476" s="244" t="s">
        <v>545</v>
      </c>
      <c r="D476" s="29">
        <v>0</v>
      </c>
      <c r="E476" s="296" t="s">
        <v>448</v>
      </c>
      <c r="F476" s="297" t="s">
        <v>448</v>
      </c>
      <c r="G476" s="9"/>
      <c r="H476" s="86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59">
        <f t="shared" si="47"/>
        <v>0</v>
      </c>
      <c r="U476" s="161">
        <f t="shared" si="51"/>
      </c>
      <c r="V476" s="162"/>
      <c r="W476" s="255"/>
      <c r="X476" s="32"/>
      <c r="Y476" s="32"/>
      <c r="Z476" s="32"/>
      <c r="AA476" s="32"/>
      <c r="AB476" s="32"/>
      <c r="AC476" s="32"/>
      <c r="AD476" s="33"/>
      <c r="AE476" s="50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</row>
    <row r="477" spans="2:49" ht="12.75">
      <c r="B477" s="189" t="s">
        <v>299</v>
      </c>
      <c r="C477" s="97" t="s">
        <v>260</v>
      </c>
      <c r="D477" s="9">
        <f>SUM(D475:D476)</f>
        <v>0.016</v>
      </c>
      <c r="E477" s="294"/>
      <c r="F477" s="295"/>
      <c r="G477" s="98">
        <f aca="true" t="shared" si="52" ref="G477:S477">SUM(G475:G476)</f>
        <v>0.003</v>
      </c>
      <c r="H477" s="156">
        <f t="shared" si="52"/>
        <v>0</v>
      </c>
      <c r="I477" s="157">
        <f t="shared" si="52"/>
        <v>0</v>
      </c>
      <c r="J477" s="157">
        <f t="shared" si="52"/>
        <v>0</v>
      </c>
      <c r="K477" s="157">
        <f t="shared" si="52"/>
        <v>0</v>
      </c>
      <c r="L477" s="157">
        <f t="shared" si="52"/>
        <v>0</v>
      </c>
      <c r="M477" s="157">
        <f t="shared" si="52"/>
        <v>0</v>
      </c>
      <c r="N477" s="157">
        <f t="shared" si="52"/>
        <v>0</v>
      </c>
      <c r="O477" s="157">
        <f t="shared" si="52"/>
        <v>0</v>
      </c>
      <c r="P477" s="157">
        <f t="shared" si="52"/>
        <v>0</v>
      </c>
      <c r="Q477" s="157">
        <f t="shared" si="52"/>
        <v>0</v>
      </c>
      <c r="R477" s="157">
        <f t="shared" si="52"/>
        <v>0</v>
      </c>
      <c r="S477" s="157">
        <f t="shared" si="52"/>
        <v>0</v>
      </c>
      <c r="T477" s="159">
        <f t="shared" si="47"/>
        <v>0</v>
      </c>
      <c r="U477" s="161" t="str">
        <f t="shared" si="51"/>
        <v>adjust profile</v>
      </c>
      <c r="V477" s="162"/>
      <c r="W477" s="255"/>
      <c r="X477" s="155">
        <f aca="true" t="shared" si="53" ref="X477:AE477">SUM(X475:X476)</f>
        <v>0</v>
      </c>
      <c r="Y477" s="155">
        <f t="shared" si="53"/>
        <v>0</v>
      </c>
      <c r="Z477" s="155">
        <f t="shared" si="53"/>
        <v>0</v>
      </c>
      <c r="AA477" s="155">
        <f t="shared" si="53"/>
        <v>0</v>
      </c>
      <c r="AB477" s="155">
        <f t="shared" si="53"/>
        <v>0</v>
      </c>
      <c r="AC477" s="155">
        <f t="shared" si="53"/>
        <v>0</v>
      </c>
      <c r="AD477" s="155">
        <f t="shared" si="53"/>
        <v>0</v>
      </c>
      <c r="AE477" s="155">
        <f t="shared" si="53"/>
        <v>0</v>
      </c>
      <c r="AG477" s="155">
        <f aca="true" t="shared" si="54" ref="AG477:AW477">SUM(AG475:AG476)</f>
        <v>0</v>
      </c>
      <c r="AH477" s="155">
        <f t="shared" si="54"/>
        <v>0</v>
      </c>
      <c r="AI477" s="155">
        <f t="shared" si="54"/>
        <v>0</v>
      </c>
      <c r="AJ477" s="155">
        <f t="shared" si="54"/>
        <v>0</v>
      </c>
      <c r="AK477" s="155">
        <f t="shared" si="54"/>
        <v>0</v>
      </c>
      <c r="AL477" s="155">
        <f t="shared" si="54"/>
        <v>0</v>
      </c>
      <c r="AM477" s="155">
        <f t="shared" si="54"/>
        <v>0</v>
      </c>
      <c r="AN477" s="155">
        <f t="shared" si="54"/>
        <v>0</v>
      </c>
      <c r="AO477" s="155">
        <f t="shared" si="54"/>
        <v>0</v>
      </c>
      <c r="AP477" s="155">
        <f t="shared" si="54"/>
        <v>0</v>
      </c>
      <c r="AQ477" s="155">
        <f t="shared" si="54"/>
        <v>0</v>
      </c>
      <c r="AR477" s="155">
        <f t="shared" si="54"/>
        <v>0</v>
      </c>
      <c r="AS477" s="155">
        <f t="shared" si="54"/>
        <v>0</v>
      </c>
      <c r="AT477" s="155">
        <f t="shared" si="54"/>
        <v>0</v>
      </c>
      <c r="AU477" s="155">
        <f t="shared" si="54"/>
        <v>0</v>
      </c>
      <c r="AV477" s="155">
        <f t="shared" si="54"/>
        <v>0</v>
      </c>
      <c r="AW477" s="155">
        <f t="shared" si="54"/>
        <v>0</v>
      </c>
    </row>
    <row r="478" spans="2:49" ht="12" customHeight="1" hidden="1">
      <c r="B478" s="243" t="s">
        <v>546</v>
      </c>
      <c r="C478" s="244" t="s">
        <v>547</v>
      </c>
      <c r="D478" s="29">
        <v>0.28</v>
      </c>
      <c r="E478" s="296">
        <v>38416</v>
      </c>
      <c r="F478" s="297">
        <v>38477</v>
      </c>
      <c r="G478" s="9">
        <v>0.111</v>
      </c>
      <c r="H478" s="86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>
        <v>0.28</v>
      </c>
      <c r="T478" s="159">
        <f t="shared" si="47"/>
        <v>0</v>
      </c>
      <c r="U478" s="161">
        <f t="shared" si="51"/>
      </c>
      <c r="V478" s="162"/>
      <c r="W478" s="255"/>
      <c r="X478" s="32"/>
      <c r="Y478" s="32"/>
      <c r="Z478" s="32"/>
      <c r="AA478" s="32"/>
      <c r="AB478" s="32"/>
      <c r="AC478" s="32"/>
      <c r="AD478" s="33"/>
      <c r="AE478" s="50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W478" s="33"/>
    </row>
    <row r="479" spans="2:49" ht="12" customHeight="1" hidden="1">
      <c r="B479" s="243" t="s">
        <v>548</v>
      </c>
      <c r="C479" s="244" t="s">
        <v>549</v>
      </c>
      <c r="D479" s="29">
        <v>0.02</v>
      </c>
      <c r="E479" s="296">
        <v>38231</v>
      </c>
      <c r="F479" s="297">
        <v>38412</v>
      </c>
      <c r="G479" s="9">
        <v>0.001</v>
      </c>
      <c r="H479" s="86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>
        <v>0.02</v>
      </c>
      <c r="T479" s="159">
        <f t="shared" si="47"/>
        <v>0</v>
      </c>
      <c r="U479" s="161">
        <f t="shared" si="51"/>
      </c>
      <c r="V479" s="162"/>
      <c r="W479" s="255"/>
      <c r="X479" s="32"/>
      <c r="Y479" s="32"/>
      <c r="Z479" s="32"/>
      <c r="AA479" s="32"/>
      <c r="AB479" s="32"/>
      <c r="AC479" s="32"/>
      <c r="AD479" s="33"/>
      <c r="AE479" s="50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W479" s="33"/>
    </row>
    <row r="480" spans="2:49" ht="12" customHeight="1" hidden="1">
      <c r="B480" s="243" t="s">
        <v>550</v>
      </c>
      <c r="C480" s="244" t="s">
        <v>551</v>
      </c>
      <c r="D480" s="29">
        <v>0.2</v>
      </c>
      <c r="E480" s="296">
        <v>38534</v>
      </c>
      <c r="F480" s="297">
        <v>38596</v>
      </c>
      <c r="G480" s="9">
        <v>0.005</v>
      </c>
      <c r="H480" s="86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>
        <v>0.2</v>
      </c>
      <c r="T480" s="159">
        <f t="shared" si="47"/>
        <v>0</v>
      </c>
      <c r="U480" s="161">
        <f t="shared" si="51"/>
      </c>
      <c r="V480" s="162"/>
      <c r="W480" s="255"/>
      <c r="X480" s="32"/>
      <c r="Y480" s="32"/>
      <c r="Z480" s="32"/>
      <c r="AA480" s="32"/>
      <c r="AB480" s="32"/>
      <c r="AC480" s="32"/>
      <c r="AD480" s="33"/>
      <c r="AE480" s="50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W480" s="33"/>
    </row>
    <row r="481" spans="2:49" ht="12" customHeight="1" hidden="1">
      <c r="B481" s="243" t="s">
        <v>552</v>
      </c>
      <c r="C481" s="244" t="s">
        <v>553</v>
      </c>
      <c r="D481" s="29">
        <v>0.05</v>
      </c>
      <c r="E481" s="296">
        <v>38388</v>
      </c>
      <c r="F481" s="297">
        <v>38412</v>
      </c>
      <c r="G481" s="9"/>
      <c r="H481" s="86">
        <v>0.025</v>
      </c>
      <c r="I481" s="12">
        <v>0.025</v>
      </c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59">
        <f t="shared" si="47"/>
        <v>0.05</v>
      </c>
      <c r="U481" s="161"/>
      <c r="V481" s="162"/>
      <c r="W481" s="255"/>
      <c r="X481" s="32"/>
      <c r="Y481" s="32"/>
      <c r="Z481" s="32"/>
      <c r="AA481" s="32"/>
      <c r="AB481" s="32"/>
      <c r="AC481" s="32"/>
      <c r="AD481" s="33"/>
      <c r="AE481" s="50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W481" s="33"/>
    </row>
    <row r="482" spans="1:50" ht="12" customHeight="1" hidden="1">
      <c r="A482" s="29" t="s">
        <v>614</v>
      </c>
      <c r="B482" s="243" t="s">
        <v>554</v>
      </c>
      <c r="C482" s="195" t="s">
        <v>555</v>
      </c>
      <c r="D482" s="29">
        <f>0.06+0.04</f>
        <v>0.1</v>
      </c>
      <c r="E482" s="296">
        <v>38416</v>
      </c>
      <c r="F482" s="297">
        <v>38477</v>
      </c>
      <c r="G482" s="9"/>
      <c r="H482" s="86">
        <v>0.015</v>
      </c>
      <c r="I482" s="12">
        <v>0.02</v>
      </c>
      <c r="J482" s="12">
        <v>0.02</v>
      </c>
      <c r="K482" s="12">
        <v>0.013</v>
      </c>
      <c r="L482" s="12"/>
      <c r="M482" s="12"/>
      <c r="N482" s="12"/>
      <c r="O482" s="12"/>
      <c r="P482" s="12"/>
      <c r="Q482" s="12"/>
      <c r="R482" s="12"/>
      <c r="S482" s="12"/>
      <c r="T482" s="159">
        <f t="shared" si="47"/>
        <v>0.035</v>
      </c>
      <c r="U482" s="161"/>
      <c r="V482" s="162"/>
      <c r="W482" s="255">
        <v>38460</v>
      </c>
      <c r="X482" s="32"/>
      <c r="Y482" s="32"/>
      <c r="Z482" s="32"/>
      <c r="AA482" s="32"/>
      <c r="AB482" s="32"/>
      <c r="AC482" s="32"/>
      <c r="AD482" s="33">
        <v>0.04</v>
      </c>
      <c r="AE482" s="50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W482" s="33"/>
      <c r="AX482" s="29" t="s">
        <v>333</v>
      </c>
    </row>
    <row r="483" spans="2:49" ht="12" customHeight="1" hidden="1">
      <c r="B483" s="243" t="s">
        <v>556</v>
      </c>
      <c r="C483" s="244" t="s">
        <v>557</v>
      </c>
      <c r="D483" s="29">
        <v>0.075</v>
      </c>
      <c r="E483" s="296" t="s">
        <v>448</v>
      </c>
      <c r="F483" s="297" t="s">
        <v>448</v>
      </c>
      <c r="G483" s="9"/>
      <c r="H483" s="86">
        <v>0.006</v>
      </c>
      <c r="I483" s="12">
        <v>0.006</v>
      </c>
      <c r="J483" s="12">
        <v>0.006</v>
      </c>
      <c r="K483" s="12">
        <v>0.006</v>
      </c>
      <c r="L483" s="12">
        <v>0.006</v>
      </c>
      <c r="M483" s="12">
        <v>0.006</v>
      </c>
      <c r="N483" s="12">
        <v>0.006</v>
      </c>
      <c r="O483" s="12">
        <v>0.006</v>
      </c>
      <c r="P483" s="12">
        <v>0.006</v>
      </c>
      <c r="Q483" s="12">
        <v>0.006</v>
      </c>
      <c r="R483" s="12">
        <v>0.006</v>
      </c>
      <c r="S483" s="12">
        <v>0.006</v>
      </c>
      <c r="T483" s="159">
        <f t="shared" si="47"/>
        <v>0.012</v>
      </c>
      <c r="U483" s="161" t="str">
        <f>IF(SUM(H483:S483)-D483=0,"","adjust profile")</f>
        <v>adjust profile</v>
      </c>
      <c r="V483" s="162"/>
      <c r="W483" s="255"/>
      <c r="X483" s="32"/>
      <c r="Y483" s="32"/>
      <c r="Z483" s="32"/>
      <c r="AA483" s="32"/>
      <c r="AB483" s="32"/>
      <c r="AC483" s="32"/>
      <c r="AD483" s="33"/>
      <c r="AE483" s="50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W483" s="33"/>
    </row>
    <row r="484" spans="2:49" ht="12" customHeight="1" hidden="1">
      <c r="B484" s="243" t="s">
        <v>558</v>
      </c>
      <c r="C484" s="244" t="s">
        <v>559</v>
      </c>
      <c r="D484" s="29">
        <v>0.015</v>
      </c>
      <c r="E484" s="296" t="s">
        <v>448</v>
      </c>
      <c r="F484" s="297" t="s">
        <v>448</v>
      </c>
      <c r="G484" s="9"/>
      <c r="H484" s="86">
        <v>0.001</v>
      </c>
      <c r="I484" s="12">
        <v>0.001</v>
      </c>
      <c r="J484" s="12">
        <v>0.001</v>
      </c>
      <c r="K484" s="12">
        <v>0.001</v>
      </c>
      <c r="L484" s="12">
        <v>0.001</v>
      </c>
      <c r="M484" s="12">
        <v>0.001</v>
      </c>
      <c r="N484" s="12">
        <v>0.001</v>
      </c>
      <c r="O484" s="12">
        <v>0.001</v>
      </c>
      <c r="P484" s="12">
        <v>0.001</v>
      </c>
      <c r="Q484" s="12">
        <v>0.001</v>
      </c>
      <c r="R484" s="12">
        <v>0.001</v>
      </c>
      <c r="S484" s="12">
        <v>0.001</v>
      </c>
      <c r="T484" s="159">
        <f t="shared" si="47"/>
        <v>0.002</v>
      </c>
      <c r="U484" s="161" t="str">
        <f>IF(SUM(H484:S484)-D484=0,"","adjust profile")</f>
        <v>adjust profile</v>
      </c>
      <c r="V484" s="162"/>
      <c r="W484" s="255"/>
      <c r="X484" s="32"/>
      <c r="Y484" s="32"/>
      <c r="Z484" s="32"/>
      <c r="AA484" s="32"/>
      <c r="AB484" s="32"/>
      <c r="AC484" s="32"/>
      <c r="AD484" s="33"/>
      <c r="AE484" s="50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W484" s="33"/>
    </row>
    <row r="485" spans="2:49" ht="12" customHeight="1" hidden="1">
      <c r="B485" s="243" t="s">
        <v>560</v>
      </c>
      <c r="C485" s="245" t="s">
        <v>561</v>
      </c>
      <c r="D485" s="29">
        <v>0.01</v>
      </c>
      <c r="E485" s="296">
        <v>38626</v>
      </c>
      <c r="F485" s="297">
        <v>38657</v>
      </c>
      <c r="G485" s="9">
        <v>0.001</v>
      </c>
      <c r="H485" s="86"/>
      <c r="I485" s="12"/>
      <c r="J485" s="12"/>
      <c r="K485" s="12"/>
      <c r="L485" s="12"/>
      <c r="M485" s="12"/>
      <c r="N485" s="12"/>
      <c r="O485" s="12"/>
      <c r="P485" s="12">
        <v>0.01</v>
      </c>
      <c r="Q485" s="12"/>
      <c r="R485" s="12"/>
      <c r="S485" s="12"/>
      <c r="T485" s="159">
        <f t="shared" si="47"/>
        <v>0</v>
      </c>
      <c r="U485" s="161"/>
      <c r="V485" s="162"/>
      <c r="W485" s="255"/>
      <c r="X485" s="32"/>
      <c r="Y485" s="32"/>
      <c r="Z485" s="32"/>
      <c r="AA485" s="32"/>
      <c r="AB485" s="32"/>
      <c r="AC485" s="32"/>
      <c r="AD485" s="33"/>
      <c r="AE485" s="50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W485" s="33"/>
    </row>
    <row r="486" spans="2:49" ht="12.75">
      <c r="B486" s="192" t="s">
        <v>299</v>
      </c>
      <c r="C486" s="97" t="s">
        <v>261</v>
      </c>
      <c r="D486" s="9">
        <f>SUM(D478:D485)</f>
        <v>0.75</v>
      </c>
      <c r="E486" s="298">
        <v>38078</v>
      </c>
      <c r="F486" s="299">
        <v>38412</v>
      </c>
      <c r="G486" s="98">
        <f>SUM(G478:G485)</f>
        <v>0.11800000000000001</v>
      </c>
      <c r="H486" s="156">
        <f>SUM(H478:H485)</f>
        <v>0.047</v>
      </c>
      <c r="I486" s="157">
        <f aca="true" t="shared" si="55" ref="I486:S486">SUM(I478:I485)</f>
        <v>0.052</v>
      </c>
      <c r="J486" s="157">
        <f t="shared" si="55"/>
        <v>0.027000000000000003</v>
      </c>
      <c r="K486" s="157">
        <f t="shared" si="55"/>
        <v>0.02</v>
      </c>
      <c r="L486" s="157">
        <f t="shared" si="55"/>
        <v>0.007</v>
      </c>
      <c r="M486" s="157">
        <f t="shared" si="55"/>
        <v>0.007</v>
      </c>
      <c r="N486" s="157">
        <f t="shared" si="55"/>
        <v>0.007</v>
      </c>
      <c r="O486" s="157">
        <f t="shared" si="55"/>
        <v>0.007</v>
      </c>
      <c r="P486" s="157">
        <f t="shared" si="55"/>
        <v>0.017</v>
      </c>
      <c r="Q486" s="157">
        <f t="shared" si="55"/>
        <v>0.007</v>
      </c>
      <c r="R486" s="157">
        <f t="shared" si="55"/>
        <v>0.007</v>
      </c>
      <c r="S486" s="157">
        <f t="shared" si="55"/>
        <v>0.507</v>
      </c>
      <c r="T486" s="159">
        <f t="shared" si="47"/>
        <v>0.099</v>
      </c>
      <c r="U486" s="161" t="str">
        <f>IF(SUM(H486:S486)-D486=0,"","adjust profile")</f>
        <v>adjust profile</v>
      </c>
      <c r="V486" s="162"/>
      <c r="W486" s="255"/>
      <c r="X486" s="155">
        <f aca="true" t="shared" si="56" ref="X486:AE486">SUM(X509:X510)</f>
        <v>0</v>
      </c>
      <c r="Y486" s="155">
        <f t="shared" si="56"/>
        <v>0</v>
      </c>
      <c r="Z486" s="155">
        <f t="shared" si="56"/>
        <v>0</v>
      </c>
      <c r="AA486" s="155">
        <f t="shared" si="56"/>
        <v>0</v>
      </c>
      <c r="AB486" s="155">
        <f t="shared" si="56"/>
        <v>0</v>
      </c>
      <c r="AC486" s="155">
        <f t="shared" si="56"/>
        <v>0</v>
      </c>
      <c r="AD486" s="155">
        <f t="shared" si="56"/>
        <v>0</v>
      </c>
      <c r="AE486" s="155">
        <f t="shared" si="56"/>
        <v>0</v>
      </c>
      <c r="AG486" s="155">
        <f aca="true" t="shared" si="57" ref="AG486:AW486">SUM(AG509:AG510)</f>
        <v>0</v>
      </c>
      <c r="AH486" s="155">
        <f t="shared" si="57"/>
        <v>0</v>
      </c>
      <c r="AI486" s="155">
        <f t="shared" si="57"/>
        <v>0</v>
      </c>
      <c r="AJ486" s="155">
        <f t="shared" si="57"/>
        <v>0</v>
      </c>
      <c r="AK486" s="155">
        <f t="shared" si="57"/>
        <v>0</v>
      </c>
      <c r="AL486" s="155">
        <f t="shared" si="57"/>
        <v>0</v>
      </c>
      <c r="AM486" s="155">
        <f t="shared" si="57"/>
        <v>0</v>
      </c>
      <c r="AN486" s="155">
        <f t="shared" si="57"/>
        <v>0</v>
      </c>
      <c r="AO486" s="155">
        <f t="shared" si="57"/>
        <v>0</v>
      </c>
      <c r="AP486" s="155">
        <f t="shared" si="57"/>
        <v>0</v>
      </c>
      <c r="AQ486" s="155">
        <f t="shared" si="57"/>
        <v>0</v>
      </c>
      <c r="AR486" s="155">
        <f t="shared" si="57"/>
        <v>0</v>
      </c>
      <c r="AS486" s="155">
        <f t="shared" si="57"/>
        <v>0</v>
      </c>
      <c r="AT486" s="155">
        <f t="shared" si="57"/>
        <v>0</v>
      </c>
      <c r="AU486" s="155">
        <f t="shared" si="57"/>
        <v>0</v>
      </c>
      <c r="AV486" s="155">
        <f t="shared" si="57"/>
        <v>0</v>
      </c>
      <c r="AW486" s="155">
        <f t="shared" si="57"/>
        <v>0</v>
      </c>
    </row>
    <row r="487" spans="2:49" ht="12" customHeight="1" hidden="1">
      <c r="B487" s="243" t="s">
        <v>562</v>
      </c>
      <c r="C487" s="244" t="s">
        <v>563</v>
      </c>
      <c r="D487" s="29">
        <v>0.04</v>
      </c>
      <c r="E487" s="296">
        <v>36251</v>
      </c>
      <c r="F487" s="297">
        <v>38412</v>
      </c>
      <c r="G487" s="9">
        <v>0.004</v>
      </c>
      <c r="H487" s="86"/>
      <c r="I487" s="12"/>
      <c r="J487" s="12">
        <v>0.004</v>
      </c>
      <c r="K487" s="12">
        <v>0.004</v>
      </c>
      <c r="L487" s="12">
        <v>0.004</v>
      </c>
      <c r="M487" s="12">
        <v>0.004</v>
      </c>
      <c r="N487" s="12">
        <v>0.004</v>
      </c>
      <c r="O487" s="12">
        <v>0.004</v>
      </c>
      <c r="P487" s="12">
        <v>0.004</v>
      </c>
      <c r="Q487" s="12">
        <v>0.004</v>
      </c>
      <c r="R487" s="12">
        <v>0.004</v>
      </c>
      <c r="S487" s="12">
        <v>0.004</v>
      </c>
      <c r="T487" s="159">
        <f t="shared" si="47"/>
        <v>0</v>
      </c>
      <c r="U487" s="161" t="str">
        <f>IF(SUM(H487:S487)-D487=0,"","adjust profile")</f>
        <v>adjust profile</v>
      </c>
      <c r="V487" s="162"/>
      <c r="W487" s="255"/>
      <c r="X487" s="32"/>
      <c r="Y487" s="32"/>
      <c r="Z487" s="32"/>
      <c r="AA487" s="32"/>
      <c r="AB487" s="32"/>
      <c r="AC487" s="32"/>
      <c r="AD487" s="33"/>
      <c r="AE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</row>
    <row r="488" spans="2:49" ht="12" customHeight="1" hidden="1">
      <c r="B488" s="243" t="s">
        <v>564</v>
      </c>
      <c r="C488" s="244" t="s">
        <v>565</v>
      </c>
      <c r="D488" s="29">
        <v>0.025</v>
      </c>
      <c r="E488" s="296">
        <v>38353</v>
      </c>
      <c r="F488" s="297">
        <v>38412</v>
      </c>
      <c r="G488" s="9"/>
      <c r="H488" s="86"/>
      <c r="I488" s="12"/>
      <c r="J488" s="12"/>
      <c r="K488" s="12"/>
      <c r="L488" s="12"/>
      <c r="M488" s="12"/>
      <c r="N488" s="12"/>
      <c r="O488" s="12"/>
      <c r="P488" s="12"/>
      <c r="Q488" s="12"/>
      <c r="R488" s="12">
        <v>0.013</v>
      </c>
      <c r="S488" s="12">
        <v>0.013</v>
      </c>
      <c r="T488" s="159">
        <f t="shared" si="47"/>
        <v>0</v>
      </c>
      <c r="U488" s="161" t="str">
        <f aca="true" t="shared" si="58" ref="U488:U507">IF(SUM(H488:S488)-D488=0,"","adjust profile")</f>
        <v>adjust profile</v>
      </c>
      <c r="V488" s="162"/>
      <c r="W488" s="255"/>
      <c r="X488" s="32"/>
      <c r="Y488" s="32"/>
      <c r="Z488" s="32"/>
      <c r="AA488" s="32"/>
      <c r="AB488" s="32"/>
      <c r="AC488" s="32"/>
      <c r="AD488" s="33"/>
      <c r="AE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</row>
    <row r="489" spans="2:49" ht="12" customHeight="1" hidden="1">
      <c r="B489" s="243" t="s">
        <v>566</v>
      </c>
      <c r="C489" s="244" t="s">
        <v>567</v>
      </c>
      <c r="D489" s="29">
        <v>0.001</v>
      </c>
      <c r="E489" s="296">
        <v>35886</v>
      </c>
      <c r="F489" s="297">
        <v>38412</v>
      </c>
      <c r="G489" s="9">
        <v>0.001</v>
      </c>
      <c r="H489" s="86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59">
        <f t="shared" si="47"/>
        <v>0</v>
      </c>
      <c r="U489" s="161" t="str">
        <f t="shared" si="58"/>
        <v>adjust profile</v>
      </c>
      <c r="V489" s="162"/>
      <c r="W489" s="255"/>
      <c r="X489" s="32"/>
      <c r="Y489" s="32"/>
      <c r="Z489" s="32"/>
      <c r="AA489" s="32"/>
      <c r="AB489" s="32"/>
      <c r="AC489" s="32"/>
      <c r="AD489" s="33"/>
      <c r="AE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</row>
    <row r="490" spans="2:49" ht="12" customHeight="1" hidden="1">
      <c r="B490" s="243" t="s">
        <v>568</v>
      </c>
      <c r="C490" s="244" t="s">
        <v>569</v>
      </c>
      <c r="D490" s="29">
        <v>0.005</v>
      </c>
      <c r="E490" s="296">
        <v>36617</v>
      </c>
      <c r="F490" s="297">
        <v>38412</v>
      </c>
      <c r="G490" s="9"/>
      <c r="H490" s="86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0.005</v>
      </c>
      <c r="T490" s="159">
        <f t="shared" si="47"/>
        <v>0</v>
      </c>
      <c r="U490" s="161">
        <f t="shared" si="58"/>
      </c>
      <c r="V490" s="162"/>
      <c r="W490" s="255"/>
      <c r="X490" s="32"/>
      <c r="Y490" s="32"/>
      <c r="Z490" s="32"/>
      <c r="AA490" s="32"/>
      <c r="AB490" s="32"/>
      <c r="AC490" s="32"/>
      <c r="AD490" s="33"/>
      <c r="AE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</row>
    <row r="491" spans="2:49" ht="12" customHeight="1" hidden="1">
      <c r="B491" s="243" t="s">
        <v>570</v>
      </c>
      <c r="C491" s="244" t="s">
        <v>571</v>
      </c>
      <c r="D491" s="29">
        <v>0.15</v>
      </c>
      <c r="E491" s="296">
        <v>37712</v>
      </c>
      <c r="F491" s="297">
        <v>38412</v>
      </c>
      <c r="G491" s="9">
        <v>0.021</v>
      </c>
      <c r="H491" s="86"/>
      <c r="I491" s="12"/>
      <c r="J491" s="12">
        <v>0.014</v>
      </c>
      <c r="K491" s="12">
        <v>0.014</v>
      </c>
      <c r="L491" s="12">
        <v>0.014</v>
      </c>
      <c r="M491" s="12">
        <v>0.014</v>
      </c>
      <c r="N491" s="12">
        <v>0.014</v>
      </c>
      <c r="O491" s="12">
        <v>0.014</v>
      </c>
      <c r="P491" s="12">
        <v>0.014</v>
      </c>
      <c r="Q491" s="12">
        <v>0.014</v>
      </c>
      <c r="R491" s="12">
        <v>0.014</v>
      </c>
      <c r="S491" s="12">
        <v>0.024</v>
      </c>
      <c r="T491" s="159">
        <f t="shared" si="47"/>
        <v>0</v>
      </c>
      <c r="U491" s="161">
        <f t="shared" si="58"/>
      </c>
      <c r="V491" s="162"/>
      <c r="W491" s="255"/>
      <c r="X491" s="32"/>
      <c r="Y491" s="32"/>
      <c r="Z491" s="32"/>
      <c r="AA491" s="32"/>
      <c r="AB491" s="32"/>
      <c r="AC491" s="32"/>
      <c r="AD491" s="33"/>
      <c r="AE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</row>
    <row r="492" spans="2:49" ht="12" customHeight="1" hidden="1">
      <c r="B492" s="243" t="s">
        <v>572</v>
      </c>
      <c r="C492" s="244" t="s">
        <v>573</v>
      </c>
      <c r="D492" s="29">
        <v>0</v>
      </c>
      <c r="E492" s="296">
        <v>38200</v>
      </c>
      <c r="F492" s="297">
        <v>38261</v>
      </c>
      <c r="G492" s="9">
        <v>-0.009</v>
      </c>
      <c r="H492" s="86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59">
        <f t="shared" si="47"/>
        <v>0</v>
      </c>
      <c r="U492" s="161">
        <f t="shared" si="58"/>
      </c>
      <c r="V492" s="162"/>
      <c r="W492" s="255"/>
      <c r="X492" s="32"/>
      <c r="Y492" s="32"/>
      <c r="Z492" s="32"/>
      <c r="AA492" s="32"/>
      <c r="AB492" s="32"/>
      <c r="AC492" s="32"/>
      <c r="AD492" s="33"/>
      <c r="AE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</row>
    <row r="493" spans="2:49" ht="12" customHeight="1" hidden="1">
      <c r="B493" s="243" t="s">
        <v>574</v>
      </c>
      <c r="C493" s="244" t="s">
        <v>575</v>
      </c>
      <c r="D493" s="29">
        <v>0.05</v>
      </c>
      <c r="E493" s="296">
        <v>37926</v>
      </c>
      <c r="F493" s="297">
        <v>38169</v>
      </c>
      <c r="G493" s="9">
        <v>0.001</v>
      </c>
      <c r="H493" s="86"/>
      <c r="I493" s="12"/>
      <c r="J493" s="12"/>
      <c r="K493" s="12"/>
      <c r="L493" s="12">
        <v>0.006</v>
      </c>
      <c r="M493" s="12">
        <v>0.006</v>
      </c>
      <c r="N493" s="12">
        <v>0.006</v>
      </c>
      <c r="O493" s="12">
        <v>0.006</v>
      </c>
      <c r="P493" s="12">
        <v>0.006</v>
      </c>
      <c r="Q493" s="12">
        <v>0.006</v>
      </c>
      <c r="R493" s="12">
        <v>0.006</v>
      </c>
      <c r="S493" s="12">
        <v>0.008</v>
      </c>
      <c r="T493" s="159">
        <f t="shared" si="47"/>
        <v>0</v>
      </c>
      <c r="U493" s="161" t="str">
        <f t="shared" si="58"/>
        <v>adjust profile</v>
      </c>
      <c r="V493" s="162"/>
      <c r="W493" s="255"/>
      <c r="X493" s="32"/>
      <c r="Y493" s="32"/>
      <c r="Z493" s="32"/>
      <c r="AA493" s="32"/>
      <c r="AB493" s="32"/>
      <c r="AC493" s="32"/>
      <c r="AD493" s="33"/>
      <c r="AE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</row>
    <row r="494" spans="2:49" ht="12" customHeight="1" hidden="1">
      <c r="B494" s="243" t="s">
        <v>576</v>
      </c>
      <c r="C494" s="244" t="s">
        <v>577</v>
      </c>
      <c r="D494" s="29">
        <v>0.015</v>
      </c>
      <c r="E494" s="296">
        <v>37834</v>
      </c>
      <c r="F494" s="297">
        <v>38412</v>
      </c>
      <c r="G494" s="9"/>
      <c r="H494" s="86"/>
      <c r="I494" s="12"/>
      <c r="J494" s="12"/>
      <c r="K494" s="12"/>
      <c r="L494" s="12">
        <v>0.002</v>
      </c>
      <c r="M494" s="12">
        <v>0.002</v>
      </c>
      <c r="N494" s="12">
        <v>0.002</v>
      </c>
      <c r="O494" s="12">
        <v>0.002</v>
      </c>
      <c r="P494" s="12">
        <v>0.002</v>
      </c>
      <c r="Q494" s="12">
        <v>0.002</v>
      </c>
      <c r="R494" s="12">
        <v>0.002</v>
      </c>
      <c r="S494" s="12">
        <v>0.002</v>
      </c>
      <c r="T494" s="159">
        <f t="shared" si="47"/>
        <v>0</v>
      </c>
      <c r="U494" s="161" t="str">
        <f t="shared" si="58"/>
        <v>adjust profile</v>
      </c>
      <c r="V494" s="162"/>
      <c r="W494" s="255"/>
      <c r="X494" s="32"/>
      <c r="Y494" s="32"/>
      <c r="Z494" s="32"/>
      <c r="AA494" s="32"/>
      <c r="AB494" s="32"/>
      <c r="AC494" s="32"/>
      <c r="AD494" s="33"/>
      <c r="AE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</row>
    <row r="495" spans="2:49" ht="12" customHeight="1" hidden="1">
      <c r="B495" s="243" t="s">
        <v>578</v>
      </c>
      <c r="C495" s="244" t="s">
        <v>579</v>
      </c>
      <c r="D495" s="29">
        <v>0.01</v>
      </c>
      <c r="E495" s="296">
        <v>37773</v>
      </c>
      <c r="F495" s="297">
        <v>38412</v>
      </c>
      <c r="G495" s="9"/>
      <c r="H495" s="86">
        <v>0.001</v>
      </c>
      <c r="I495" s="12">
        <v>0.001</v>
      </c>
      <c r="J495" s="12">
        <v>0.001</v>
      </c>
      <c r="K495" s="12">
        <v>0.001</v>
      </c>
      <c r="L495" s="12">
        <v>0.001</v>
      </c>
      <c r="M495" s="12">
        <v>0.001</v>
      </c>
      <c r="N495" s="12">
        <v>0.001</v>
      </c>
      <c r="O495" s="12">
        <v>0.001</v>
      </c>
      <c r="P495" s="12">
        <v>0.001</v>
      </c>
      <c r="Q495" s="12">
        <v>0.001</v>
      </c>
      <c r="R495" s="12">
        <v>0.001</v>
      </c>
      <c r="S495" s="12">
        <v>0.001</v>
      </c>
      <c r="T495" s="159">
        <f t="shared" si="47"/>
        <v>0.002</v>
      </c>
      <c r="U495" s="161" t="str">
        <f t="shared" si="58"/>
        <v>adjust profile</v>
      </c>
      <c r="V495" s="162"/>
      <c r="W495" s="255"/>
      <c r="X495" s="32"/>
      <c r="Y495" s="32"/>
      <c r="Z495" s="32"/>
      <c r="AA495" s="32"/>
      <c r="AB495" s="32"/>
      <c r="AC495" s="32"/>
      <c r="AD495" s="33"/>
      <c r="AE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</row>
    <row r="496" spans="2:49" ht="12" customHeight="1" hidden="1">
      <c r="B496" s="243" t="s">
        <v>580</v>
      </c>
      <c r="C496" s="244" t="s">
        <v>581</v>
      </c>
      <c r="D496" s="29">
        <v>0.03</v>
      </c>
      <c r="E496" s="296">
        <v>38353</v>
      </c>
      <c r="F496" s="297">
        <v>38777</v>
      </c>
      <c r="G496" s="9"/>
      <c r="H496" s="86"/>
      <c r="I496" s="12"/>
      <c r="J496" s="12"/>
      <c r="K496" s="12"/>
      <c r="L496" s="12"/>
      <c r="M496" s="12"/>
      <c r="N496" s="12"/>
      <c r="O496" s="12"/>
      <c r="P496" s="12"/>
      <c r="Q496" s="12"/>
      <c r="R496" s="12">
        <v>0.015</v>
      </c>
      <c r="S496" s="12">
        <v>0.015</v>
      </c>
      <c r="T496" s="159">
        <f t="shared" si="47"/>
        <v>0</v>
      </c>
      <c r="U496" s="161">
        <f t="shared" si="58"/>
      </c>
      <c r="V496" s="162"/>
      <c r="W496" s="255"/>
      <c r="X496" s="32"/>
      <c r="Y496" s="32"/>
      <c r="Z496" s="32"/>
      <c r="AA496" s="32"/>
      <c r="AB496" s="32"/>
      <c r="AC496" s="32"/>
      <c r="AD496" s="33"/>
      <c r="AE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</row>
    <row r="497" spans="2:49" ht="12" customHeight="1" hidden="1">
      <c r="B497" s="243" t="s">
        <v>582</v>
      </c>
      <c r="C497" s="244" t="s">
        <v>583</v>
      </c>
      <c r="D497" s="29">
        <v>0.25</v>
      </c>
      <c r="E497" s="296">
        <v>38322</v>
      </c>
      <c r="F497" s="297">
        <v>38412</v>
      </c>
      <c r="G497" s="9">
        <v>0.004</v>
      </c>
      <c r="H497" s="86"/>
      <c r="I497" s="12"/>
      <c r="J497" s="12"/>
      <c r="K497" s="12"/>
      <c r="L497" s="12"/>
      <c r="M497" s="12"/>
      <c r="N497" s="12"/>
      <c r="O497" s="12"/>
      <c r="P497" s="12"/>
      <c r="Q497" s="12">
        <v>0.083</v>
      </c>
      <c r="R497" s="12">
        <v>0.083</v>
      </c>
      <c r="S497" s="12">
        <v>0.083</v>
      </c>
      <c r="T497" s="159">
        <f t="shared" si="47"/>
        <v>0</v>
      </c>
      <c r="U497" s="161" t="str">
        <f t="shared" si="58"/>
        <v>adjust profile</v>
      </c>
      <c r="V497" s="162"/>
      <c r="W497" s="255"/>
      <c r="X497" s="32"/>
      <c r="Y497" s="32"/>
      <c r="Z497" s="32"/>
      <c r="AA497" s="32"/>
      <c r="AB497" s="32"/>
      <c r="AC497" s="32"/>
      <c r="AD497" s="33"/>
      <c r="AE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</row>
    <row r="498" spans="2:49" ht="12" customHeight="1" hidden="1">
      <c r="B498" s="243" t="s">
        <v>584</v>
      </c>
      <c r="C498" s="244" t="s">
        <v>585</v>
      </c>
      <c r="D498" s="29">
        <v>0.015</v>
      </c>
      <c r="E498" s="296">
        <v>38357</v>
      </c>
      <c r="F498" s="297">
        <v>38416</v>
      </c>
      <c r="G498" s="9">
        <v>0.015</v>
      </c>
      <c r="H498" s="86"/>
      <c r="I498" s="12"/>
      <c r="J498" s="12"/>
      <c r="K498" s="12"/>
      <c r="L498" s="12"/>
      <c r="M498" s="12"/>
      <c r="N498" s="12"/>
      <c r="O498" s="12"/>
      <c r="P498" s="12"/>
      <c r="Q498" s="12"/>
      <c r="R498" s="12">
        <v>0.008</v>
      </c>
      <c r="S498" s="12">
        <v>0.008</v>
      </c>
      <c r="T498" s="159">
        <f t="shared" si="47"/>
        <v>0</v>
      </c>
      <c r="U498" s="161" t="str">
        <f t="shared" si="58"/>
        <v>adjust profile</v>
      </c>
      <c r="V498" s="162"/>
      <c r="W498" s="255"/>
      <c r="X498" s="32"/>
      <c r="Y498" s="32"/>
      <c r="Z498" s="32"/>
      <c r="AA498" s="32"/>
      <c r="AB498" s="32"/>
      <c r="AC498" s="32"/>
      <c r="AD498" s="33"/>
      <c r="AE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</row>
    <row r="499" spans="2:49" ht="12.75" hidden="1">
      <c r="B499" s="243" t="s">
        <v>586</v>
      </c>
      <c r="C499" s="244" t="s">
        <v>587</v>
      </c>
      <c r="D499" s="29">
        <v>0.01</v>
      </c>
      <c r="E499" s="296">
        <v>38661</v>
      </c>
      <c r="F499" s="297">
        <v>38843</v>
      </c>
      <c r="G499" s="9"/>
      <c r="H499" s="86" t="s">
        <v>604</v>
      </c>
      <c r="I499" s="12" t="s">
        <v>604</v>
      </c>
      <c r="J499" s="12" t="s">
        <v>604</v>
      </c>
      <c r="K499" s="12" t="s">
        <v>604</v>
      </c>
      <c r="L499" s="12" t="s">
        <v>604</v>
      </c>
      <c r="M499" s="12" t="s">
        <v>604</v>
      </c>
      <c r="N499" s="12" t="s">
        <v>604</v>
      </c>
      <c r="O499" s="12" t="s">
        <v>604</v>
      </c>
      <c r="P499" s="12">
        <v>0.002</v>
      </c>
      <c r="Q499" s="12">
        <v>0.002</v>
      </c>
      <c r="R499" s="12">
        <v>0.002</v>
      </c>
      <c r="S499" s="12">
        <v>0.002</v>
      </c>
      <c r="T499" s="159">
        <f t="shared" si="47"/>
        <v>0</v>
      </c>
      <c r="U499" s="161" t="str">
        <f t="shared" si="58"/>
        <v>adjust profile</v>
      </c>
      <c r="V499" s="162"/>
      <c r="W499" s="255"/>
      <c r="X499" s="32"/>
      <c r="Y499" s="32"/>
      <c r="Z499" s="32"/>
      <c r="AA499" s="32"/>
      <c r="AB499" s="32"/>
      <c r="AC499" s="32"/>
      <c r="AD499" s="33"/>
      <c r="AE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</row>
    <row r="500" spans="2:49" ht="12.75" hidden="1">
      <c r="B500" s="243" t="s">
        <v>588</v>
      </c>
      <c r="C500" s="244" t="s">
        <v>589</v>
      </c>
      <c r="D500" s="29">
        <v>0.001</v>
      </c>
      <c r="E500" s="296">
        <v>38264</v>
      </c>
      <c r="F500" s="297">
        <v>38325</v>
      </c>
      <c r="G500" s="9">
        <v>0.001</v>
      </c>
      <c r="H500" s="86"/>
      <c r="I500" s="12"/>
      <c r="J500" s="12"/>
      <c r="K500" s="12"/>
      <c r="L500" s="12"/>
      <c r="M500" s="12"/>
      <c r="N500" s="12"/>
      <c r="O500" s="12"/>
      <c r="P500" s="12"/>
      <c r="Q500" s="12">
        <v>0.001</v>
      </c>
      <c r="R500" s="12"/>
      <c r="S500" s="12"/>
      <c r="T500" s="159">
        <f t="shared" si="47"/>
        <v>0</v>
      </c>
      <c r="U500" s="161">
        <f t="shared" si="58"/>
      </c>
      <c r="V500" s="162"/>
      <c r="W500" s="255"/>
      <c r="X500" s="32"/>
      <c r="Y500" s="32"/>
      <c r="Z500" s="32"/>
      <c r="AA500" s="32"/>
      <c r="AB500" s="32"/>
      <c r="AC500" s="32"/>
      <c r="AD500" s="33"/>
      <c r="AE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</row>
    <row r="501" spans="2:49" ht="12.75" hidden="1">
      <c r="B501" s="243" t="s">
        <v>590</v>
      </c>
      <c r="C501" s="244" t="s">
        <v>591</v>
      </c>
      <c r="D501" s="29">
        <v>0.04</v>
      </c>
      <c r="E501" s="296">
        <v>38388</v>
      </c>
      <c r="F501" s="297">
        <v>38447</v>
      </c>
      <c r="G501" s="9">
        <v>0.038</v>
      </c>
      <c r="H501" s="86"/>
      <c r="I501" s="12"/>
      <c r="J501" s="12"/>
      <c r="K501" s="12"/>
      <c r="L501" s="12"/>
      <c r="M501" s="12"/>
      <c r="N501" s="12"/>
      <c r="O501" s="12"/>
      <c r="P501" s="12"/>
      <c r="Q501" s="12"/>
      <c r="R501" s="12">
        <v>0.02</v>
      </c>
      <c r="S501" s="12">
        <v>0.02</v>
      </c>
      <c r="T501" s="159">
        <f t="shared" si="47"/>
        <v>0</v>
      </c>
      <c r="U501" s="161">
        <f t="shared" si="58"/>
      </c>
      <c r="V501" s="162"/>
      <c r="W501" s="255"/>
      <c r="X501" s="32"/>
      <c r="Y501" s="32"/>
      <c r="Z501" s="32"/>
      <c r="AA501" s="32"/>
      <c r="AB501" s="32"/>
      <c r="AC501" s="32"/>
      <c r="AD501" s="33"/>
      <c r="AE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</row>
    <row r="502" spans="2:49" ht="12.75" hidden="1">
      <c r="B502" s="243" t="s">
        <v>592</v>
      </c>
      <c r="C502" s="244" t="s">
        <v>593</v>
      </c>
      <c r="D502" s="29">
        <v>0.025</v>
      </c>
      <c r="E502" s="296">
        <v>38388</v>
      </c>
      <c r="F502" s="297">
        <v>38416</v>
      </c>
      <c r="G502" s="9">
        <v>0.001</v>
      </c>
      <c r="H502" s="86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>
        <v>0.025</v>
      </c>
      <c r="T502" s="159">
        <f t="shared" si="47"/>
        <v>0</v>
      </c>
      <c r="U502" s="161">
        <f t="shared" si="58"/>
      </c>
      <c r="V502" s="162"/>
      <c r="W502" s="255"/>
      <c r="X502" s="32"/>
      <c r="Y502" s="32"/>
      <c r="Z502" s="32"/>
      <c r="AA502" s="32"/>
      <c r="AB502" s="32"/>
      <c r="AC502" s="32"/>
      <c r="AD502" s="33"/>
      <c r="AE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</row>
    <row r="503" spans="2:49" ht="12.75" hidden="1">
      <c r="B503" s="243" t="s">
        <v>594</v>
      </c>
      <c r="C503" s="244" t="s">
        <v>595</v>
      </c>
      <c r="D503" s="29">
        <v>0</v>
      </c>
      <c r="E503" s="296">
        <v>38357</v>
      </c>
      <c r="F503" s="297">
        <v>38416</v>
      </c>
      <c r="G503" s="9"/>
      <c r="H503" s="86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59">
        <f t="shared" si="47"/>
        <v>0</v>
      </c>
      <c r="U503" s="161">
        <f t="shared" si="58"/>
      </c>
      <c r="V503" s="162"/>
      <c r="W503" s="255"/>
      <c r="X503" s="32"/>
      <c r="Y503" s="32"/>
      <c r="Z503" s="32"/>
      <c r="AA503" s="32"/>
      <c r="AB503" s="32"/>
      <c r="AC503" s="32"/>
      <c r="AD503" s="33"/>
      <c r="AE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</row>
    <row r="504" spans="2:49" ht="12.75" hidden="1">
      <c r="B504" s="243" t="s">
        <v>596</v>
      </c>
      <c r="C504" s="244" t="s">
        <v>597</v>
      </c>
      <c r="D504" s="29">
        <v>0.1</v>
      </c>
      <c r="E504" s="296">
        <v>38534</v>
      </c>
      <c r="F504" s="297">
        <v>38777</v>
      </c>
      <c r="G504" s="9"/>
      <c r="H504" s="86" t="s">
        <v>604</v>
      </c>
      <c r="I504" s="12" t="s">
        <v>604</v>
      </c>
      <c r="J504" s="12" t="s">
        <v>604</v>
      </c>
      <c r="K504" s="12" t="s">
        <v>604</v>
      </c>
      <c r="L504" s="12">
        <v>0.009</v>
      </c>
      <c r="M504" s="12">
        <v>0.013</v>
      </c>
      <c r="N504" s="12">
        <v>0.013</v>
      </c>
      <c r="O504" s="12">
        <v>0.013</v>
      </c>
      <c r="P504" s="12">
        <v>0.013</v>
      </c>
      <c r="Q504" s="12">
        <v>0.013</v>
      </c>
      <c r="R504" s="12">
        <v>0.013</v>
      </c>
      <c r="S504" s="12">
        <v>0.013</v>
      </c>
      <c r="T504" s="159">
        <f t="shared" si="47"/>
        <v>0</v>
      </c>
      <c r="U504" s="161" t="str">
        <f t="shared" si="58"/>
        <v>adjust profile</v>
      </c>
      <c r="V504" s="162"/>
      <c r="W504" s="255"/>
      <c r="X504" s="32"/>
      <c r="Y504" s="32"/>
      <c r="Z504" s="32"/>
      <c r="AA504" s="32"/>
      <c r="AB504" s="32"/>
      <c r="AC504" s="32"/>
      <c r="AD504" s="33"/>
      <c r="AE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</row>
    <row r="505" spans="2:49" ht="12.75" hidden="1">
      <c r="B505" s="243" t="s">
        <v>598</v>
      </c>
      <c r="C505" s="244" t="s">
        <v>599</v>
      </c>
      <c r="D505" s="29">
        <v>0.05</v>
      </c>
      <c r="E505" s="296"/>
      <c r="F505" s="297"/>
      <c r="G505" s="9"/>
      <c r="H505" s="86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>
        <v>0.05</v>
      </c>
      <c r="T505" s="159">
        <f t="shared" si="47"/>
        <v>0</v>
      </c>
      <c r="U505" s="161">
        <f t="shared" si="58"/>
      </c>
      <c r="V505" s="162"/>
      <c r="W505" s="255"/>
      <c r="X505" s="32"/>
      <c r="Y505" s="32"/>
      <c r="Z505" s="32"/>
      <c r="AA505" s="32"/>
      <c r="AB505" s="32"/>
      <c r="AC505" s="32"/>
      <c r="AD505" s="33"/>
      <c r="AE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</row>
    <row r="506" spans="2:49" ht="12.75" hidden="1">
      <c r="B506" s="243" t="s">
        <v>600</v>
      </c>
      <c r="C506" s="244" t="s">
        <v>601</v>
      </c>
      <c r="D506" s="29">
        <v>0.1</v>
      </c>
      <c r="E506" s="296">
        <v>38718</v>
      </c>
      <c r="F506" s="297">
        <v>39052</v>
      </c>
      <c r="G506" s="9"/>
      <c r="H506" s="86" t="s">
        <v>604</v>
      </c>
      <c r="I506" s="12" t="s">
        <v>604</v>
      </c>
      <c r="J506" s="12" t="s">
        <v>604</v>
      </c>
      <c r="K506" s="12" t="s">
        <v>604</v>
      </c>
      <c r="L506" s="12" t="s">
        <v>604</v>
      </c>
      <c r="M506" s="12" t="s">
        <v>604</v>
      </c>
      <c r="N506" s="12" t="s">
        <v>604</v>
      </c>
      <c r="O506" s="12" t="s">
        <v>604</v>
      </c>
      <c r="P506" s="12" t="s">
        <v>604</v>
      </c>
      <c r="Q506" s="12" t="s">
        <v>604</v>
      </c>
      <c r="R506" s="12">
        <v>0.05</v>
      </c>
      <c r="S506" s="12">
        <v>0.05</v>
      </c>
      <c r="T506" s="159">
        <f t="shared" si="47"/>
        <v>0</v>
      </c>
      <c r="U506" s="161">
        <f t="shared" si="58"/>
      </c>
      <c r="V506" s="162"/>
      <c r="W506" s="255"/>
      <c r="X506" s="32"/>
      <c r="Y506" s="32"/>
      <c r="Z506" s="32"/>
      <c r="AA506" s="32"/>
      <c r="AB506" s="32"/>
      <c r="AC506" s="32"/>
      <c r="AD506" s="33"/>
      <c r="AE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</row>
    <row r="507" spans="2:49" ht="12.75" hidden="1">
      <c r="B507" s="243" t="s">
        <v>602</v>
      </c>
      <c r="C507" s="244" t="s">
        <v>603</v>
      </c>
      <c r="D507" s="29">
        <v>0</v>
      </c>
      <c r="E507" s="296" t="s">
        <v>448</v>
      </c>
      <c r="F507" s="297" t="s">
        <v>448</v>
      </c>
      <c r="G507" s="9"/>
      <c r="H507" s="86" t="s">
        <v>604</v>
      </c>
      <c r="I507" s="12" t="s">
        <v>604</v>
      </c>
      <c r="J507" s="12" t="s">
        <v>604</v>
      </c>
      <c r="K507" s="12" t="s">
        <v>604</v>
      </c>
      <c r="L507" s="12" t="s">
        <v>604</v>
      </c>
      <c r="M507" s="12" t="s">
        <v>604</v>
      </c>
      <c r="N507" s="12" t="s">
        <v>604</v>
      </c>
      <c r="O507" s="12" t="s">
        <v>604</v>
      </c>
      <c r="P507" s="12" t="s">
        <v>604</v>
      </c>
      <c r="Q507" s="12" t="s">
        <v>604</v>
      </c>
      <c r="R507" s="12" t="s">
        <v>604</v>
      </c>
      <c r="S507" s="12" t="s">
        <v>604</v>
      </c>
      <c r="T507" s="159">
        <f t="shared" si="47"/>
        <v>0</v>
      </c>
      <c r="U507" s="161">
        <f t="shared" si="58"/>
      </c>
      <c r="V507" s="162"/>
      <c r="W507" s="255"/>
      <c r="X507" s="32"/>
      <c r="Y507" s="32"/>
      <c r="Z507" s="32"/>
      <c r="AA507" s="32"/>
      <c r="AB507" s="32"/>
      <c r="AC507" s="32"/>
      <c r="AD507" s="33"/>
      <c r="AE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</row>
    <row r="508" spans="2:49" ht="12.75">
      <c r="B508" s="189" t="s">
        <v>299</v>
      </c>
      <c r="C508" s="97" t="s">
        <v>251</v>
      </c>
      <c r="D508" s="9">
        <f>SUM(D487:D507)</f>
        <v>0.9170000000000001</v>
      </c>
      <c r="E508" s="298">
        <v>38078</v>
      </c>
      <c r="F508" s="299">
        <v>38412</v>
      </c>
      <c r="G508" s="98">
        <f aca="true" t="shared" si="59" ref="G508:S508">SUM(G487:G507)</f>
        <v>0.07700000000000001</v>
      </c>
      <c r="H508" s="156">
        <f t="shared" si="59"/>
        <v>0.001</v>
      </c>
      <c r="I508" s="157">
        <f t="shared" si="59"/>
        <v>0.001</v>
      </c>
      <c r="J508" s="157">
        <f t="shared" si="59"/>
        <v>0.019000000000000003</v>
      </c>
      <c r="K508" s="157">
        <f t="shared" si="59"/>
        <v>0.019000000000000003</v>
      </c>
      <c r="L508" s="157">
        <f t="shared" si="59"/>
        <v>0.036000000000000004</v>
      </c>
      <c r="M508" s="157">
        <f t="shared" si="59"/>
        <v>0.04</v>
      </c>
      <c r="N508" s="157">
        <f t="shared" si="59"/>
        <v>0.04</v>
      </c>
      <c r="O508" s="157">
        <f t="shared" si="59"/>
        <v>0.04</v>
      </c>
      <c r="P508" s="157">
        <f t="shared" si="59"/>
        <v>0.042</v>
      </c>
      <c r="Q508" s="157">
        <f t="shared" si="59"/>
        <v>0.12600000000000003</v>
      </c>
      <c r="R508" s="157">
        <f t="shared" si="59"/>
        <v>0.23100000000000004</v>
      </c>
      <c r="S508" s="157">
        <f t="shared" si="59"/>
        <v>0.323</v>
      </c>
      <c r="T508" s="159">
        <f t="shared" si="47"/>
        <v>0.002</v>
      </c>
      <c r="U508" s="161" t="str">
        <f>IF(SUM(H508:S508)-D508=0,"","adjust profile")</f>
        <v>adjust profile</v>
      </c>
      <c r="V508" s="162"/>
      <c r="W508" s="255"/>
      <c r="X508" s="155">
        <f aca="true" t="shared" si="60" ref="X508:AE508">SUM(X487:X507)</f>
        <v>0</v>
      </c>
      <c r="Y508" s="155">
        <f t="shared" si="60"/>
        <v>0</v>
      </c>
      <c r="Z508" s="155">
        <f t="shared" si="60"/>
        <v>0</v>
      </c>
      <c r="AA508" s="155">
        <f t="shared" si="60"/>
        <v>0</v>
      </c>
      <c r="AB508" s="155">
        <f t="shared" si="60"/>
        <v>0</v>
      </c>
      <c r="AC508" s="155">
        <f t="shared" si="60"/>
        <v>0</v>
      </c>
      <c r="AD508" s="155">
        <f t="shared" si="60"/>
        <v>0</v>
      </c>
      <c r="AE508" s="155">
        <f t="shared" si="60"/>
        <v>0</v>
      </c>
      <c r="AG508" s="155">
        <f aca="true" t="shared" si="61" ref="AG508:AW508">SUM(AG487:AG507)</f>
        <v>0</v>
      </c>
      <c r="AH508" s="155">
        <f t="shared" si="61"/>
        <v>0</v>
      </c>
      <c r="AI508" s="155">
        <f t="shared" si="61"/>
        <v>0</v>
      </c>
      <c r="AJ508" s="155">
        <f t="shared" si="61"/>
        <v>0</v>
      </c>
      <c r="AK508" s="155">
        <f t="shared" si="61"/>
        <v>0</v>
      </c>
      <c r="AL508" s="155">
        <f t="shared" si="61"/>
        <v>0</v>
      </c>
      <c r="AM508" s="155">
        <f t="shared" si="61"/>
        <v>0</v>
      </c>
      <c r="AN508" s="155">
        <f t="shared" si="61"/>
        <v>0</v>
      </c>
      <c r="AO508" s="155">
        <f t="shared" si="61"/>
        <v>0</v>
      </c>
      <c r="AP508" s="155">
        <f t="shared" si="61"/>
        <v>0</v>
      </c>
      <c r="AQ508" s="155">
        <f t="shared" si="61"/>
        <v>0</v>
      </c>
      <c r="AR508" s="155">
        <f t="shared" si="61"/>
        <v>0</v>
      </c>
      <c r="AS508" s="155">
        <f t="shared" si="61"/>
        <v>0</v>
      </c>
      <c r="AT508" s="155">
        <f t="shared" si="61"/>
        <v>0</v>
      </c>
      <c r="AU508" s="155">
        <f t="shared" si="61"/>
        <v>0</v>
      </c>
      <c r="AV508" s="155">
        <f t="shared" si="61"/>
        <v>0</v>
      </c>
      <c r="AW508" s="155">
        <f t="shared" si="61"/>
        <v>0</v>
      </c>
    </row>
    <row r="509" spans="2:49" ht="12" customHeight="1">
      <c r="B509" s="251">
        <v>0.028</v>
      </c>
      <c r="C509" s="140" t="s">
        <v>615</v>
      </c>
      <c r="D509" s="22">
        <f>-(0.718-0.028)</f>
        <v>-0.69</v>
      </c>
      <c r="E509" s="298"/>
      <c r="F509" s="299"/>
      <c r="G509" s="9"/>
      <c r="H509" s="86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59"/>
      <c r="U509" s="161" t="str">
        <f aca="true" t="shared" si="62" ref="U509:U517">IF(SUM(H509:S509)-D509=0,"","adjust profile")</f>
        <v>adjust profile</v>
      </c>
      <c r="V509" s="162"/>
      <c r="W509" s="255"/>
      <c r="X509" s="32"/>
      <c r="Y509" s="32"/>
      <c r="Z509" s="32"/>
      <c r="AA509" s="32"/>
      <c r="AB509" s="32"/>
      <c r="AC509" s="32"/>
      <c r="AD509" s="33"/>
      <c r="AE509" s="50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W509" s="33"/>
    </row>
    <row r="510" spans="2:49" ht="12" customHeight="1">
      <c r="B510" s="251">
        <v>0.019</v>
      </c>
      <c r="C510" s="140" t="s">
        <v>384</v>
      </c>
      <c r="D510" s="22">
        <v>0.019</v>
      </c>
      <c r="E510" s="298"/>
      <c r="F510" s="299"/>
      <c r="G510" s="9"/>
      <c r="H510" s="86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59"/>
      <c r="U510" s="161" t="str">
        <f t="shared" si="62"/>
        <v>adjust profile</v>
      </c>
      <c r="V510" s="162"/>
      <c r="W510" s="255"/>
      <c r="X510" s="32"/>
      <c r="Y510" s="32"/>
      <c r="Z510" s="32"/>
      <c r="AA510" s="32"/>
      <c r="AB510" s="32"/>
      <c r="AC510" s="32"/>
      <c r="AD510" s="33"/>
      <c r="AE510" s="50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W510" s="33"/>
    </row>
    <row r="511" spans="2:49" ht="13.5" customHeight="1">
      <c r="B511" s="177"/>
      <c r="C511" s="5" t="s">
        <v>616</v>
      </c>
      <c r="D511" s="9">
        <v>-0.091</v>
      </c>
      <c r="E511" s="294"/>
      <c r="F511" s="295"/>
      <c r="G511" s="9"/>
      <c r="H511" s="84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9"/>
      <c r="U511" s="161" t="str">
        <f t="shared" si="62"/>
        <v>adjust profile</v>
      </c>
      <c r="V511" s="162"/>
      <c r="W511" s="255"/>
      <c r="X511" s="32"/>
      <c r="Y511" s="32"/>
      <c r="Z511" s="32"/>
      <c r="AA511" s="32"/>
      <c r="AB511" s="32"/>
      <c r="AC511" s="155">
        <f>SUM(AC509:AC510)</f>
        <v>0</v>
      </c>
      <c r="AD511" s="33"/>
      <c r="AE511" s="155">
        <f>SUM(AE509:AE510)</f>
        <v>0</v>
      </c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6"/>
      <c r="AW511" s="155">
        <f>SUM(AW509:AW510)</f>
        <v>0</v>
      </c>
    </row>
    <row r="512" spans="1:49" ht="12.75">
      <c r="A512" s="189" t="s">
        <v>299</v>
      </c>
      <c r="B512" s="177" t="s">
        <v>198</v>
      </c>
      <c r="C512" s="5"/>
      <c r="D512" s="9"/>
      <c r="E512" s="294"/>
      <c r="F512" s="295"/>
      <c r="G512" s="9"/>
      <c r="H512" s="86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59"/>
      <c r="U512" s="161">
        <f t="shared" si="62"/>
      </c>
      <c r="V512" s="162"/>
      <c r="W512" s="255"/>
      <c r="X512" s="32"/>
      <c r="Y512" s="32"/>
      <c r="Z512" s="32"/>
      <c r="AA512" s="32"/>
      <c r="AB512" s="32"/>
      <c r="AC512" s="155">
        <f>SUM(AC510:AC511)</f>
        <v>0</v>
      </c>
      <c r="AE512" s="155">
        <f>SUM(AD482)</f>
        <v>0.04</v>
      </c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155">
        <f>SUM(AW510:AW511)</f>
        <v>0</v>
      </c>
    </row>
    <row r="513" spans="1:49" ht="12.75">
      <c r="A513" s="189"/>
      <c r="B513" s="192" t="s">
        <v>299</v>
      </c>
      <c r="C513" s="5" t="s">
        <v>385</v>
      </c>
      <c r="D513" s="9">
        <v>0.25</v>
      </c>
      <c r="E513" s="294"/>
      <c r="F513" s="295"/>
      <c r="G513" s="9"/>
      <c r="H513" s="86">
        <v>0.021</v>
      </c>
      <c r="I513" s="12">
        <v>0.021</v>
      </c>
      <c r="J513" s="12">
        <v>0.021</v>
      </c>
      <c r="K513" s="12">
        <v>0.021</v>
      </c>
      <c r="L513" s="12">
        <v>0.021</v>
      </c>
      <c r="M513" s="12">
        <v>0.021</v>
      </c>
      <c r="N513" s="12">
        <v>0.021</v>
      </c>
      <c r="O513" s="12">
        <v>0.021</v>
      </c>
      <c r="P513" s="12">
        <v>0.021</v>
      </c>
      <c r="Q513" s="12">
        <v>0.021</v>
      </c>
      <c r="R513" s="12">
        <v>0.021</v>
      </c>
      <c r="S513" s="12">
        <v>0.021</v>
      </c>
      <c r="T513" s="159">
        <f t="shared" si="47"/>
        <v>0.042</v>
      </c>
      <c r="U513" s="161" t="str">
        <f t="shared" si="62"/>
        <v>adjust profile</v>
      </c>
      <c r="V513" s="162"/>
      <c r="W513" s="255"/>
      <c r="X513" s="32"/>
      <c r="Y513" s="32"/>
      <c r="Z513" s="32"/>
      <c r="AA513" s="32"/>
      <c r="AB513" s="32"/>
      <c r="AC513" s="155"/>
      <c r="AD513" s="33"/>
      <c r="AE513" s="212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W513" s="155"/>
    </row>
    <row r="514" spans="1:49" ht="13.5" thickBot="1">
      <c r="A514" s="177" t="s">
        <v>211</v>
      </c>
      <c r="C514" s="5" t="s">
        <v>383</v>
      </c>
      <c r="D514" s="9">
        <v>0.083</v>
      </c>
      <c r="E514" s="294"/>
      <c r="F514" s="295"/>
      <c r="G514" s="9"/>
      <c r="H514" s="86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59"/>
      <c r="U514" s="161" t="str">
        <f t="shared" si="62"/>
        <v>adjust profile</v>
      </c>
      <c r="V514" s="162"/>
      <c r="W514" s="255"/>
      <c r="X514" s="32">
        <f>4.126</f>
        <v>4.126</v>
      </c>
      <c r="Y514" s="32"/>
      <c r="Z514" s="32">
        <v>0.083</v>
      </c>
      <c r="AA514" s="32"/>
      <c r="AB514" s="32">
        <f>0.019+0.028+0.25</f>
        <v>0.297</v>
      </c>
      <c r="AC514" s="32">
        <f>SUM(AG514:AV514)</f>
        <v>0</v>
      </c>
      <c r="AD514" s="33"/>
      <c r="AE514" s="50">
        <f>SUM(X514:AD514)</f>
        <v>4.506</v>
      </c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W514" s="33">
        <f>SUM(AG514:AV514)</f>
        <v>0</v>
      </c>
    </row>
    <row r="515" spans="3:49" ht="13.5" thickBot="1">
      <c r="C515" s="7" t="s">
        <v>252</v>
      </c>
      <c r="D515" s="21">
        <f>D458+D404+D405+D433+D406+D508+D474+D477+D486+D512+SUM(D509:D514)</f>
        <v>15.286999999999999</v>
      </c>
      <c r="E515" s="292"/>
      <c r="F515" s="293"/>
      <c r="G515" s="21">
        <f>G458+G404+G405+G433+G406+G508+G474+G477+G486+SUM(G509:G514)</f>
        <v>1.0530000000000002</v>
      </c>
      <c r="H515" s="91">
        <f>H458+H404+H405+H433+H406+H508+H474+H477+H486+SUM(H509:H514)</f>
        <v>1.004</v>
      </c>
      <c r="I515" s="24">
        <f aca="true" t="shared" si="63" ref="I515:R515">I458+I404+I405+I433+I406+I508+I474+I477+I486+SUM(I509:I514)</f>
        <v>0.35200000000000004</v>
      </c>
      <c r="J515" s="24">
        <f t="shared" si="63"/>
        <v>1.3149999999999997</v>
      </c>
      <c r="K515" s="24">
        <f t="shared" si="63"/>
        <v>1.06</v>
      </c>
      <c r="L515" s="24">
        <f t="shared" si="63"/>
        <v>1.0299999999999998</v>
      </c>
      <c r="M515" s="24">
        <f t="shared" si="63"/>
        <v>3.5829999999999997</v>
      </c>
      <c r="N515" s="24">
        <f t="shared" si="63"/>
        <v>1.093</v>
      </c>
      <c r="O515" s="24">
        <f t="shared" si="63"/>
        <v>1.142</v>
      </c>
      <c r="P515" s="24">
        <f t="shared" si="63"/>
        <v>0.31300000000000006</v>
      </c>
      <c r="Q515" s="24">
        <f t="shared" si="63"/>
        <v>0.553</v>
      </c>
      <c r="R515" s="24">
        <f t="shared" si="63"/>
        <v>0.7940000000000002</v>
      </c>
      <c r="S515" s="24">
        <f>S431+S404+S405+S433+S406+S508+S474+S477+S486+S512+S514+S511</f>
        <v>3.399</v>
      </c>
      <c r="T515" s="21">
        <f>T458+T404+T405+T433+T406+T508+T474+T477+T486+T512+T514+T511+T513</f>
        <v>1.356</v>
      </c>
      <c r="U515" s="161" t="str">
        <f t="shared" si="62"/>
        <v>adjust profile</v>
      </c>
      <c r="V515" s="162"/>
      <c r="W515" s="255"/>
      <c r="X515" s="21">
        <f aca="true" t="shared" si="64" ref="X515:AC515">X458+X404+X405+X433+X406+X508+X474+X477+X486+X512+X514+X511+X513</f>
        <v>4.126</v>
      </c>
      <c r="Y515" s="21">
        <f t="shared" si="64"/>
        <v>1.732</v>
      </c>
      <c r="Z515" s="21">
        <f t="shared" si="64"/>
        <v>0.083</v>
      </c>
      <c r="AA515" s="21">
        <f t="shared" si="64"/>
        <v>0</v>
      </c>
      <c r="AB515" s="21">
        <f t="shared" si="64"/>
        <v>0.297</v>
      </c>
      <c r="AC515" s="21">
        <f t="shared" si="64"/>
        <v>9.009</v>
      </c>
      <c r="AD515" s="21">
        <f>AD458+AD404+AD405+AD433+AD406+AD508+AD474+AD477+AD486+AD482+AD514+AD511+AD513</f>
        <v>0.04</v>
      </c>
      <c r="AE515" s="349">
        <f>AE458+AE404+AE405+AE433+AE406+AE508+AE474+AE477+AE486+AE512+AE514+AE511+AE513</f>
        <v>15.286999999999999</v>
      </c>
      <c r="AF515" s="82"/>
      <c r="AG515" s="21">
        <f aca="true" t="shared" si="65" ref="AG515:AW515">AG458+AG404+AG405+AG433+AG406+AG508+AG474+AG477+AG486+AG512+AG514+AG511</f>
        <v>9.009</v>
      </c>
      <c r="AH515" s="21">
        <f t="shared" si="65"/>
        <v>0</v>
      </c>
      <c r="AI515" s="21">
        <f t="shared" si="65"/>
        <v>0</v>
      </c>
      <c r="AJ515" s="21">
        <f t="shared" si="65"/>
        <v>0</v>
      </c>
      <c r="AK515" s="21">
        <f t="shared" si="65"/>
        <v>0</v>
      </c>
      <c r="AL515" s="21">
        <f t="shared" si="65"/>
        <v>0</v>
      </c>
      <c r="AM515" s="21">
        <f t="shared" si="65"/>
        <v>0</v>
      </c>
      <c r="AN515" s="21">
        <f t="shared" si="65"/>
        <v>0</v>
      </c>
      <c r="AO515" s="21">
        <f t="shared" si="65"/>
        <v>0</v>
      </c>
      <c r="AP515" s="21">
        <f t="shared" si="65"/>
        <v>0</v>
      </c>
      <c r="AQ515" s="21">
        <f t="shared" si="65"/>
        <v>0</v>
      </c>
      <c r="AR515" s="21">
        <f t="shared" si="65"/>
        <v>0</v>
      </c>
      <c r="AS515" s="21">
        <f t="shared" si="65"/>
        <v>0</v>
      </c>
      <c r="AT515" s="21">
        <f t="shared" si="65"/>
        <v>0</v>
      </c>
      <c r="AU515" s="21">
        <f t="shared" si="65"/>
        <v>0</v>
      </c>
      <c r="AV515" s="21">
        <f t="shared" si="65"/>
        <v>0</v>
      </c>
      <c r="AW515" s="21">
        <f t="shared" si="65"/>
        <v>9.009</v>
      </c>
    </row>
    <row r="516" spans="3:49" ht="12.75">
      <c r="C516" s="5"/>
      <c r="D516" s="5"/>
      <c r="E516" s="282"/>
      <c r="F516" s="284"/>
      <c r="G516" s="9"/>
      <c r="H516" s="86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90"/>
      <c r="T516" s="90"/>
      <c r="U516" s="161">
        <f t="shared" si="62"/>
      </c>
      <c r="V516" s="162"/>
      <c r="W516" s="255"/>
      <c r="X516" s="32"/>
      <c r="Y516" s="32"/>
      <c r="Z516" s="32"/>
      <c r="AA516" s="32"/>
      <c r="AB516" s="32"/>
      <c r="AC516" s="32"/>
      <c r="AD516" s="33"/>
      <c r="AE516" s="33"/>
      <c r="AG516" s="335"/>
      <c r="AH516" s="335"/>
      <c r="AI516" s="335"/>
      <c r="AJ516" s="335"/>
      <c r="AK516" s="335"/>
      <c r="AL516" s="335"/>
      <c r="AM516" s="335"/>
      <c r="AN516" s="335"/>
      <c r="AO516" s="335"/>
      <c r="AP516" s="335"/>
      <c r="AQ516" s="335"/>
      <c r="AR516" s="335"/>
      <c r="AS516" s="335"/>
      <c r="AT516" s="335"/>
      <c r="AU516" s="335"/>
      <c r="AV516" s="335"/>
      <c r="AW516" s="335"/>
    </row>
    <row r="517" spans="3:49" ht="12.75">
      <c r="C517" s="7" t="s">
        <v>229</v>
      </c>
      <c r="D517" s="5"/>
      <c r="E517" s="282"/>
      <c r="F517" s="284"/>
      <c r="G517" s="9"/>
      <c r="H517" s="86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90"/>
      <c r="T517" s="90"/>
      <c r="U517" s="161">
        <f t="shared" si="62"/>
      </c>
      <c r="V517" s="162"/>
      <c r="W517" s="255"/>
      <c r="X517" s="32"/>
      <c r="Y517" s="32"/>
      <c r="Z517" s="32"/>
      <c r="AA517" s="32"/>
      <c r="AB517" s="32"/>
      <c r="AC517" s="32"/>
      <c r="AD517" s="33"/>
      <c r="AE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</row>
    <row r="518" spans="2:49" ht="12.75">
      <c r="B518" s="333" t="s">
        <v>6</v>
      </c>
      <c r="C518" s="331" t="s">
        <v>7</v>
      </c>
      <c r="D518" s="334">
        <v>0.026</v>
      </c>
      <c r="E518" s="282"/>
      <c r="F518" s="284"/>
      <c r="G518" s="9"/>
      <c r="H518" s="86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59">
        <f aca="true" t="shared" si="66" ref="T518:T543">D518/12*2</f>
        <v>0.004333333333333333</v>
      </c>
      <c r="U518" s="161"/>
      <c r="V518" s="162"/>
      <c r="W518" s="255"/>
      <c r="X518" s="32"/>
      <c r="Y518" s="32"/>
      <c r="Z518" s="32"/>
      <c r="AA518" s="32"/>
      <c r="AB518" s="32">
        <v>0.026</v>
      </c>
      <c r="AC518" s="32">
        <f>SUM(AG518:AV518)</f>
        <v>0</v>
      </c>
      <c r="AD518" s="33"/>
      <c r="AE518" s="50">
        <f>SUM(X518:AD518)</f>
        <v>0.026</v>
      </c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>
        <f aca="true" t="shared" si="67" ref="AW518:AW541">SUM(AG518:AV518)</f>
        <v>0</v>
      </c>
    </row>
    <row r="519" spans="2:49" ht="12.75">
      <c r="B519" s="333" t="s">
        <v>8</v>
      </c>
      <c r="C519" s="331" t="s">
        <v>9</v>
      </c>
      <c r="D519" s="334">
        <v>0.025</v>
      </c>
      <c r="E519" s="282"/>
      <c r="F519" s="284"/>
      <c r="G519" s="9">
        <v>0.005</v>
      </c>
      <c r="H519" s="86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59">
        <f t="shared" si="66"/>
        <v>0.004166666666666667</v>
      </c>
      <c r="U519" s="161"/>
      <c r="V519" s="162"/>
      <c r="W519" s="255"/>
      <c r="X519" s="32"/>
      <c r="Y519" s="32"/>
      <c r="Z519" s="32"/>
      <c r="AA519" s="32"/>
      <c r="AB519" s="32">
        <v>0.025</v>
      </c>
      <c r="AC519" s="32">
        <f aca="true" t="shared" si="68" ref="AC519:AC541">SUM(AG519:AV519)</f>
        <v>0</v>
      </c>
      <c r="AD519" s="33"/>
      <c r="AE519" s="50">
        <f aca="true" t="shared" si="69" ref="AE519:AE541">SUM(X519:AD519)</f>
        <v>0.025</v>
      </c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>
        <f t="shared" si="67"/>
        <v>0</v>
      </c>
    </row>
    <row r="520" spans="2:49" ht="12.75">
      <c r="B520" s="333" t="s">
        <v>10</v>
      </c>
      <c r="C520" s="331" t="s">
        <v>11</v>
      </c>
      <c r="D520" s="334">
        <v>0.028</v>
      </c>
      <c r="E520" s="282"/>
      <c r="F520" s="284"/>
      <c r="G520" s="9"/>
      <c r="H520" s="86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59">
        <f t="shared" si="66"/>
        <v>0.004666666666666667</v>
      </c>
      <c r="U520" s="161"/>
      <c r="V520" s="162"/>
      <c r="W520" s="255"/>
      <c r="X520" s="32"/>
      <c r="Y520" s="32"/>
      <c r="Z520" s="32"/>
      <c r="AA520" s="32"/>
      <c r="AB520" s="32">
        <v>0.028</v>
      </c>
      <c r="AC520" s="32">
        <f t="shared" si="68"/>
        <v>0</v>
      </c>
      <c r="AD520" s="33"/>
      <c r="AE520" s="50">
        <f t="shared" si="69"/>
        <v>0.028</v>
      </c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>
        <f t="shared" si="67"/>
        <v>0</v>
      </c>
    </row>
    <row r="521" spans="2:49" ht="12.75">
      <c r="B521" s="333" t="s">
        <v>12</v>
      </c>
      <c r="C521" s="332" t="s">
        <v>13</v>
      </c>
      <c r="D521" s="334">
        <v>0.05</v>
      </c>
      <c r="E521" s="282"/>
      <c r="F521" s="284"/>
      <c r="G521" s="9"/>
      <c r="H521" s="86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59">
        <f t="shared" si="66"/>
        <v>0.008333333333333333</v>
      </c>
      <c r="U521" s="161"/>
      <c r="V521" s="162"/>
      <c r="W521" s="255"/>
      <c r="X521" s="32"/>
      <c r="Y521" s="32"/>
      <c r="Z521" s="32"/>
      <c r="AA521" s="32"/>
      <c r="AB521" s="32">
        <v>0.05</v>
      </c>
      <c r="AC521" s="32">
        <f t="shared" si="68"/>
        <v>0</v>
      </c>
      <c r="AD521" s="33"/>
      <c r="AE521" s="50">
        <f t="shared" si="69"/>
        <v>0.05</v>
      </c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>
        <f t="shared" si="67"/>
        <v>0</v>
      </c>
    </row>
    <row r="522" spans="2:49" ht="12.75">
      <c r="B522" s="333" t="s">
        <v>14</v>
      </c>
      <c r="C522" s="331" t="s">
        <v>15</v>
      </c>
      <c r="D522" s="334">
        <v>0.003</v>
      </c>
      <c r="E522" s="282"/>
      <c r="F522" s="284"/>
      <c r="G522" s="9"/>
      <c r="H522" s="86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59">
        <f t="shared" si="66"/>
        <v>0.0005</v>
      </c>
      <c r="U522" s="161"/>
      <c r="V522" s="162"/>
      <c r="W522" s="255"/>
      <c r="X522" s="32"/>
      <c r="Y522" s="32"/>
      <c r="Z522" s="32"/>
      <c r="AA522" s="32"/>
      <c r="AB522" s="32">
        <v>0.003</v>
      </c>
      <c r="AC522" s="32">
        <f t="shared" si="68"/>
        <v>0</v>
      </c>
      <c r="AD522" s="33"/>
      <c r="AE522" s="50">
        <f t="shared" si="69"/>
        <v>0.003</v>
      </c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>
        <f t="shared" si="67"/>
        <v>0</v>
      </c>
    </row>
    <row r="523" spans="2:49" ht="12.75">
      <c r="B523" s="333" t="s">
        <v>16</v>
      </c>
      <c r="C523" s="332" t="s">
        <v>17</v>
      </c>
      <c r="D523" s="334">
        <v>0.016</v>
      </c>
      <c r="E523" s="282"/>
      <c r="F523" s="284"/>
      <c r="G523" s="9"/>
      <c r="H523" s="86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59">
        <f t="shared" si="66"/>
        <v>0.0026666666666666666</v>
      </c>
      <c r="U523" s="161"/>
      <c r="V523" s="162"/>
      <c r="W523" s="255"/>
      <c r="X523" s="32"/>
      <c r="Y523" s="32"/>
      <c r="Z523" s="32"/>
      <c r="AA523" s="32"/>
      <c r="AB523" s="32">
        <v>0.016</v>
      </c>
      <c r="AC523" s="32">
        <f t="shared" si="68"/>
        <v>0</v>
      </c>
      <c r="AD523" s="33"/>
      <c r="AE523" s="50">
        <f t="shared" si="69"/>
        <v>0.016</v>
      </c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>
        <f t="shared" si="67"/>
        <v>0</v>
      </c>
    </row>
    <row r="524" spans="2:49" ht="12.75">
      <c r="B524" s="333" t="s">
        <v>18</v>
      </c>
      <c r="C524" s="332" t="s">
        <v>19</v>
      </c>
      <c r="D524" s="334">
        <v>0.1</v>
      </c>
      <c r="E524" s="282"/>
      <c r="F524" s="284"/>
      <c r="G524" s="9"/>
      <c r="H524" s="86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59">
        <f t="shared" si="66"/>
        <v>0.016666666666666666</v>
      </c>
      <c r="U524" s="161"/>
      <c r="V524" s="162"/>
      <c r="W524" s="255"/>
      <c r="X524" s="32">
        <v>0.1</v>
      </c>
      <c r="Y524" s="32"/>
      <c r="Z524" s="32"/>
      <c r="AA524" s="32"/>
      <c r="AB524" s="32"/>
      <c r="AC524" s="32">
        <f t="shared" si="68"/>
        <v>0</v>
      </c>
      <c r="AD524" s="33"/>
      <c r="AE524" s="50">
        <f t="shared" si="69"/>
        <v>0.1</v>
      </c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>
        <f t="shared" si="67"/>
        <v>0</v>
      </c>
    </row>
    <row r="525" spans="2:49" ht="12.75">
      <c r="B525" s="333" t="s">
        <v>20</v>
      </c>
      <c r="C525" s="332" t="s">
        <v>21</v>
      </c>
      <c r="D525" s="334">
        <v>0.008</v>
      </c>
      <c r="E525" s="282"/>
      <c r="F525" s="284"/>
      <c r="G525" s="9"/>
      <c r="H525" s="86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59">
        <f t="shared" si="66"/>
        <v>0.0013333333333333333</v>
      </c>
      <c r="U525" s="161"/>
      <c r="V525" s="162"/>
      <c r="W525" s="255"/>
      <c r="X525" s="32"/>
      <c r="Y525" s="32"/>
      <c r="Z525" s="32"/>
      <c r="AA525" s="32"/>
      <c r="AB525" s="32">
        <v>0.008</v>
      </c>
      <c r="AC525" s="32">
        <f t="shared" si="68"/>
        <v>0</v>
      </c>
      <c r="AD525" s="33"/>
      <c r="AE525" s="50">
        <f t="shared" si="69"/>
        <v>0.008</v>
      </c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>
        <f t="shared" si="67"/>
        <v>0</v>
      </c>
    </row>
    <row r="526" spans="2:49" ht="12.75">
      <c r="B526" s="333" t="s">
        <v>22</v>
      </c>
      <c r="C526" s="332" t="s">
        <v>23</v>
      </c>
      <c r="D526" s="334">
        <v>0.015</v>
      </c>
      <c r="E526" s="282"/>
      <c r="F526" s="284"/>
      <c r="G526" s="9"/>
      <c r="H526" s="86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59">
        <f t="shared" si="66"/>
        <v>0.0025</v>
      </c>
      <c r="U526" s="161"/>
      <c r="V526" s="162"/>
      <c r="W526" s="255"/>
      <c r="X526" s="32">
        <v>0.015</v>
      </c>
      <c r="Y526" s="32"/>
      <c r="Z526" s="32"/>
      <c r="AA526" s="32"/>
      <c r="AB526" s="32"/>
      <c r="AC526" s="32">
        <f t="shared" si="68"/>
        <v>0</v>
      </c>
      <c r="AD526" s="33"/>
      <c r="AE526" s="50">
        <f t="shared" si="69"/>
        <v>0.015</v>
      </c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>
        <f t="shared" si="67"/>
        <v>0</v>
      </c>
    </row>
    <row r="527" spans="2:49" ht="12.75">
      <c r="B527" s="333" t="s">
        <v>24</v>
      </c>
      <c r="C527" s="332" t="s">
        <v>25</v>
      </c>
      <c r="D527" s="334">
        <v>0.02</v>
      </c>
      <c r="E527" s="282"/>
      <c r="F527" s="284"/>
      <c r="G527" s="9"/>
      <c r="H527" s="86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59">
        <f t="shared" si="66"/>
        <v>0.0033333333333333335</v>
      </c>
      <c r="U527" s="161"/>
      <c r="V527" s="162"/>
      <c r="W527" s="255"/>
      <c r="X527" s="32"/>
      <c r="Y527" s="32"/>
      <c r="Z527" s="32"/>
      <c r="AA527" s="32"/>
      <c r="AB527" s="32">
        <v>0.02</v>
      </c>
      <c r="AC527" s="32">
        <f t="shared" si="68"/>
        <v>0</v>
      </c>
      <c r="AD527" s="33"/>
      <c r="AE527" s="50">
        <f t="shared" si="69"/>
        <v>0.02</v>
      </c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>
        <f t="shared" si="67"/>
        <v>0</v>
      </c>
    </row>
    <row r="528" spans="2:49" ht="12.75">
      <c r="B528" s="333" t="s">
        <v>26</v>
      </c>
      <c r="C528" s="332" t="s">
        <v>27</v>
      </c>
      <c r="D528" s="334">
        <v>0.033</v>
      </c>
      <c r="E528" s="282"/>
      <c r="F528" s="284"/>
      <c r="G528" s="9"/>
      <c r="H528" s="86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59">
        <f t="shared" si="66"/>
        <v>0.0055000000000000005</v>
      </c>
      <c r="U528" s="161"/>
      <c r="V528" s="162"/>
      <c r="W528" s="255"/>
      <c r="X528" s="32">
        <v>0.033</v>
      </c>
      <c r="Y528" s="32"/>
      <c r="Z528" s="32"/>
      <c r="AA528" s="32"/>
      <c r="AB528" s="32"/>
      <c r="AC528" s="32">
        <f t="shared" si="68"/>
        <v>0</v>
      </c>
      <c r="AD528" s="33"/>
      <c r="AE528" s="50">
        <f t="shared" si="69"/>
        <v>0.033</v>
      </c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>
        <f t="shared" si="67"/>
        <v>0</v>
      </c>
    </row>
    <row r="529" spans="2:49" ht="12.75">
      <c r="B529" s="333" t="s">
        <v>10</v>
      </c>
      <c r="C529" s="332" t="s">
        <v>11</v>
      </c>
      <c r="D529" s="334">
        <v>0.002</v>
      </c>
      <c r="E529" s="282"/>
      <c r="F529" s="284"/>
      <c r="G529" s="9"/>
      <c r="H529" s="86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59">
        <f t="shared" si="66"/>
        <v>0.0003333333333333333</v>
      </c>
      <c r="U529" s="161"/>
      <c r="V529" s="162"/>
      <c r="W529" s="255"/>
      <c r="X529" s="32">
        <v>0.002</v>
      </c>
      <c r="Y529" s="32"/>
      <c r="Z529" s="32"/>
      <c r="AA529" s="32"/>
      <c r="AB529" s="32"/>
      <c r="AC529" s="32">
        <f t="shared" si="68"/>
        <v>0</v>
      </c>
      <c r="AD529" s="33"/>
      <c r="AE529" s="50">
        <f t="shared" si="69"/>
        <v>0.002</v>
      </c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>
        <f t="shared" si="67"/>
        <v>0</v>
      </c>
    </row>
    <row r="530" spans="2:49" ht="12.75">
      <c r="B530" s="333" t="s">
        <v>28</v>
      </c>
      <c r="C530" s="331" t="s">
        <v>29</v>
      </c>
      <c r="D530" s="334">
        <v>0.137</v>
      </c>
      <c r="E530" s="282"/>
      <c r="F530" s="284"/>
      <c r="G530" s="9">
        <v>0.01</v>
      </c>
      <c r="H530" s="86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59">
        <f t="shared" si="66"/>
        <v>0.022833333333333334</v>
      </c>
      <c r="U530" s="161"/>
      <c r="V530" s="162"/>
      <c r="W530" s="255"/>
      <c r="X530" s="32"/>
      <c r="Y530" s="32"/>
      <c r="Z530" s="32"/>
      <c r="AA530" s="32"/>
      <c r="AB530" s="32">
        <v>0.1</v>
      </c>
      <c r="AC530" s="32">
        <f t="shared" si="68"/>
        <v>0.037</v>
      </c>
      <c r="AD530" s="33"/>
      <c r="AE530" s="50">
        <f t="shared" si="69"/>
        <v>0.137</v>
      </c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>
        <v>0.037</v>
      </c>
      <c r="AW530" s="33">
        <f t="shared" si="67"/>
        <v>0.037</v>
      </c>
    </row>
    <row r="531" spans="2:49" ht="12.75">
      <c r="B531" s="333" t="s">
        <v>30</v>
      </c>
      <c r="C531" s="331" t="s">
        <v>31</v>
      </c>
      <c r="D531" s="334">
        <v>0.248</v>
      </c>
      <c r="E531" s="282"/>
      <c r="F531" s="284"/>
      <c r="G531" s="9">
        <v>0.003</v>
      </c>
      <c r="H531" s="86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59">
        <f t="shared" si="66"/>
        <v>0.04133333333333333</v>
      </c>
      <c r="U531" s="161"/>
      <c r="V531" s="162"/>
      <c r="W531" s="255"/>
      <c r="X531" s="32"/>
      <c r="Y531" s="32"/>
      <c r="Z531" s="32"/>
      <c r="AA531" s="32"/>
      <c r="AB531" s="32">
        <v>0.1</v>
      </c>
      <c r="AC531" s="32">
        <f t="shared" si="68"/>
        <v>0.148</v>
      </c>
      <c r="AD531" s="33"/>
      <c r="AE531" s="50">
        <f t="shared" si="69"/>
        <v>0.248</v>
      </c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>
        <v>0.148</v>
      </c>
      <c r="AW531" s="33">
        <f t="shared" si="67"/>
        <v>0.148</v>
      </c>
    </row>
    <row r="532" spans="2:50" ht="12.75">
      <c r="B532" s="333" t="s">
        <v>32</v>
      </c>
      <c r="C532" s="331" t="s">
        <v>33</v>
      </c>
      <c r="D532" s="334">
        <v>0.11</v>
      </c>
      <c r="E532" s="282"/>
      <c r="F532" s="284"/>
      <c r="G532" s="9">
        <v>0.002</v>
      </c>
      <c r="H532" s="86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59">
        <f t="shared" si="66"/>
        <v>0.018333333333333333</v>
      </c>
      <c r="U532" s="161"/>
      <c r="V532" s="162"/>
      <c r="W532" s="255"/>
      <c r="X532" s="32"/>
      <c r="Y532" s="32">
        <v>0.09</v>
      </c>
      <c r="Z532" s="32"/>
      <c r="AA532" s="32"/>
      <c r="AB532" s="32"/>
      <c r="AC532" s="32">
        <f t="shared" si="68"/>
        <v>0</v>
      </c>
      <c r="AD532" s="33">
        <v>0.02</v>
      </c>
      <c r="AE532" s="50">
        <f t="shared" si="69"/>
        <v>0.11</v>
      </c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>
        <f t="shared" si="67"/>
        <v>0</v>
      </c>
      <c r="AX532" s="29" t="s">
        <v>52</v>
      </c>
    </row>
    <row r="533" spans="2:50" ht="12.75">
      <c r="B533" s="333" t="s">
        <v>34</v>
      </c>
      <c r="C533" s="331" t="s">
        <v>35</v>
      </c>
      <c r="D533" s="334">
        <v>0.002</v>
      </c>
      <c r="E533" s="282"/>
      <c r="F533" s="284"/>
      <c r="G533" s="9"/>
      <c r="H533" s="86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59">
        <f t="shared" si="66"/>
        <v>0.0003333333333333333</v>
      </c>
      <c r="U533" s="161"/>
      <c r="V533" s="162"/>
      <c r="W533" s="255"/>
      <c r="X533" s="32"/>
      <c r="Y533" s="32"/>
      <c r="Z533" s="32"/>
      <c r="AA533" s="32"/>
      <c r="AB533" s="32"/>
      <c r="AC533" s="32">
        <f t="shared" si="68"/>
        <v>0</v>
      </c>
      <c r="AD533" s="33">
        <v>0.002</v>
      </c>
      <c r="AE533" s="50">
        <f t="shared" si="69"/>
        <v>0.002</v>
      </c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>
        <f t="shared" si="67"/>
        <v>0</v>
      </c>
      <c r="AX533" s="29" t="s">
        <v>53</v>
      </c>
    </row>
    <row r="534" spans="2:50" ht="12.75">
      <c r="B534" s="333" t="s">
        <v>36</v>
      </c>
      <c r="C534" s="331" t="s">
        <v>37</v>
      </c>
      <c r="D534" s="334">
        <v>0.002</v>
      </c>
      <c r="E534" s="282"/>
      <c r="F534" s="284"/>
      <c r="G534" s="9"/>
      <c r="H534" s="86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59">
        <f t="shared" si="66"/>
        <v>0.0003333333333333333</v>
      </c>
      <c r="U534" s="161"/>
      <c r="V534" s="162"/>
      <c r="W534" s="255"/>
      <c r="X534" s="32"/>
      <c r="Y534" s="32"/>
      <c r="Z534" s="32"/>
      <c r="AA534" s="32"/>
      <c r="AB534" s="32"/>
      <c r="AC534" s="32">
        <f t="shared" si="68"/>
        <v>0</v>
      </c>
      <c r="AD534" s="33">
        <v>0.002</v>
      </c>
      <c r="AE534" s="50">
        <f t="shared" si="69"/>
        <v>0.002</v>
      </c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>
        <f t="shared" si="67"/>
        <v>0</v>
      </c>
      <c r="AX534" s="29" t="s">
        <v>53</v>
      </c>
    </row>
    <row r="535" spans="2:50" ht="12.75">
      <c r="B535" s="333" t="s">
        <v>38</v>
      </c>
      <c r="C535" s="331" t="s">
        <v>39</v>
      </c>
      <c r="D535" s="334">
        <v>0.006</v>
      </c>
      <c r="E535" s="282"/>
      <c r="F535" s="284"/>
      <c r="G535" s="9"/>
      <c r="H535" s="86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59">
        <f t="shared" si="66"/>
        <v>0.001</v>
      </c>
      <c r="U535" s="161"/>
      <c r="V535" s="162"/>
      <c r="W535" s="255"/>
      <c r="X535" s="32"/>
      <c r="Y535" s="32"/>
      <c r="Z535" s="32"/>
      <c r="AA535" s="32"/>
      <c r="AB535" s="32"/>
      <c r="AC535" s="32">
        <f t="shared" si="68"/>
        <v>0</v>
      </c>
      <c r="AD535" s="33">
        <v>0.006</v>
      </c>
      <c r="AE535" s="50">
        <f t="shared" si="69"/>
        <v>0.006</v>
      </c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>
        <f t="shared" si="67"/>
        <v>0</v>
      </c>
      <c r="AX535" s="29" t="s">
        <v>54</v>
      </c>
    </row>
    <row r="536" spans="2:49" ht="12.75">
      <c r="B536" s="333" t="s">
        <v>40</v>
      </c>
      <c r="C536" s="331" t="s">
        <v>41</v>
      </c>
      <c r="D536" s="334">
        <v>0.036</v>
      </c>
      <c r="E536" s="282"/>
      <c r="F536" s="284"/>
      <c r="G536" s="9">
        <v>0.003</v>
      </c>
      <c r="H536" s="86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59">
        <f t="shared" si="66"/>
        <v>0.005999999999999999</v>
      </c>
      <c r="U536" s="161"/>
      <c r="V536" s="162"/>
      <c r="W536" s="255"/>
      <c r="X536" s="32"/>
      <c r="Y536" s="32"/>
      <c r="Z536" s="32"/>
      <c r="AA536" s="32">
        <v>0.036</v>
      </c>
      <c r="AB536" s="32"/>
      <c r="AC536" s="32">
        <f t="shared" si="68"/>
        <v>0</v>
      </c>
      <c r="AD536" s="33"/>
      <c r="AE536" s="50">
        <f t="shared" si="69"/>
        <v>0.036</v>
      </c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>
        <f t="shared" si="67"/>
        <v>0</v>
      </c>
    </row>
    <row r="537" spans="2:50" ht="12.75">
      <c r="B537" s="333" t="s">
        <v>42</v>
      </c>
      <c r="C537" s="331" t="s">
        <v>43</v>
      </c>
      <c r="D537" s="334">
        <v>0.057</v>
      </c>
      <c r="E537" s="282"/>
      <c r="F537" s="284"/>
      <c r="G537" s="9"/>
      <c r="H537" s="86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59">
        <f t="shared" si="66"/>
        <v>0.0095</v>
      </c>
      <c r="U537" s="161"/>
      <c r="V537" s="162"/>
      <c r="W537" s="255"/>
      <c r="X537" s="32"/>
      <c r="Y537" s="32"/>
      <c r="Z537" s="32"/>
      <c r="AA537" s="32"/>
      <c r="AB537" s="32"/>
      <c r="AC537" s="32">
        <f t="shared" si="68"/>
        <v>0.057</v>
      </c>
      <c r="AD537" s="33"/>
      <c r="AE537" s="50">
        <f t="shared" si="69"/>
        <v>0.057</v>
      </c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>
        <v>0.057</v>
      </c>
      <c r="AW537" s="33">
        <f t="shared" si="67"/>
        <v>0.057</v>
      </c>
      <c r="AX537" s="29" t="s">
        <v>398</v>
      </c>
    </row>
    <row r="538" spans="2:49" ht="12.75">
      <c r="B538" s="333" t="s">
        <v>44</v>
      </c>
      <c r="C538" s="331" t="s">
        <v>45</v>
      </c>
      <c r="D538" s="334">
        <v>0.086</v>
      </c>
      <c r="E538" s="282"/>
      <c r="F538" s="284"/>
      <c r="G538" s="9"/>
      <c r="H538" s="86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59">
        <f t="shared" si="66"/>
        <v>0.014333333333333332</v>
      </c>
      <c r="U538" s="161"/>
      <c r="V538" s="162"/>
      <c r="W538" s="255"/>
      <c r="X538" s="32"/>
      <c r="Y538" s="32"/>
      <c r="Z538" s="32"/>
      <c r="AA538" s="32"/>
      <c r="AB538" s="32"/>
      <c r="AC538" s="32">
        <f t="shared" si="68"/>
        <v>0.086</v>
      </c>
      <c r="AD538" s="33"/>
      <c r="AE538" s="50">
        <f t="shared" si="69"/>
        <v>0.086</v>
      </c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>
        <v>0.086</v>
      </c>
      <c r="AW538" s="33">
        <f t="shared" si="67"/>
        <v>0.086</v>
      </c>
    </row>
    <row r="539" spans="2:50" ht="12.75">
      <c r="B539" s="333" t="s">
        <v>46</v>
      </c>
      <c r="C539" s="331" t="s">
        <v>47</v>
      </c>
      <c r="D539" s="334">
        <v>0.019</v>
      </c>
      <c r="E539" s="282"/>
      <c r="F539" s="284"/>
      <c r="G539" s="9">
        <v>0.001</v>
      </c>
      <c r="H539" s="86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59">
        <f t="shared" si="66"/>
        <v>0.0031666666666666666</v>
      </c>
      <c r="U539" s="161"/>
      <c r="V539" s="162"/>
      <c r="W539" s="255"/>
      <c r="X539" s="32"/>
      <c r="Y539" s="32"/>
      <c r="Z539" s="32"/>
      <c r="AA539" s="32"/>
      <c r="AB539" s="32"/>
      <c r="AC539" s="32">
        <f t="shared" si="68"/>
        <v>0</v>
      </c>
      <c r="AD539" s="33">
        <v>0.019</v>
      </c>
      <c r="AE539" s="50">
        <f t="shared" si="69"/>
        <v>0.019</v>
      </c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>
        <f t="shared" si="67"/>
        <v>0</v>
      </c>
      <c r="AX539" s="29" t="s">
        <v>55</v>
      </c>
    </row>
    <row r="540" spans="2:50" ht="12.75">
      <c r="B540" s="333" t="s">
        <v>48</v>
      </c>
      <c r="C540" s="331" t="s">
        <v>49</v>
      </c>
      <c r="D540" s="334">
        <v>0.031</v>
      </c>
      <c r="E540" s="282"/>
      <c r="F540" s="284"/>
      <c r="G540" s="9"/>
      <c r="H540" s="86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59">
        <f t="shared" si="66"/>
        <v>0.005166666666666667</v>
      </c>
      <c r="U540" s="161"/>
      <c r="V540" s="162"/>
      <c r="W540" s="255"/>
      <c r="X540" s="32"/>
      <c r="Y540" s="32"/>
      <c r="Z540" s="32"/>
      <c r="AA540" s="32"/>
      <c r="AB540" s="32"/>
      <c r="AC540" s="32">
        <f t="shared" si="68"/>
        <v>0</v>
      </c>
      <c r="AD540" s="33">
        <v>0.031</v>
      </c>
      <c r="AE540" s="50">
        <f t="shared" si="69"/>
        <v>0.031</v>
      </c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>
        <f t="shared" si="67"/>
        <v>0</v>
      </c>
      <c r="AX540" s="29" t="s">
        <v>56</v>
      </c>
    </row>
    <row r="541" spans="2:49" ht="12.75">
      <c r="B541" s="333" t="s">
        <v>50</v>
      </c>
      <c r="C541" s="331" t="s">
        <v>51</v>
      </c>
      <c r="D541" s="334">
        <v>0.131</v>
      </c>
      <c r="E541" s="282"/>
      <c r="F541" s="284"/>
      <c r="G541" s="9"/>
      <c r="H541" s="86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59">
        <f t="shared" si="66"/>
        <v>0.021833333333333333</v>
      </c>
      <c r="U541" s="161"/>
      <c r="V541" s="162"/>
      <c r="W541" s="255"/>
      <c r="X541" s="32"/>
      <c r="Y541" s="32"/>
      <c r="Z541" s="32"/>
      <c r="AA541" s="32"/>
      <c r="AB541" s="32"/>
      <c r="AC541" s="32">
        <f t="shared" si="68"/>
        <v>0.05</v>
      </c>
      <c r="AD541" s="33">
        <v>0.081</v>
      </c>
      <c r="AE541" s="50">
        <f t="shared" si="69"/>
        <v>0.131</v>
      </c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>
        <v>0.05</v>
      </c>
      <c r="AW541" s="33">
        <f t="shared" si="67"/>
        <v>0.05</v>
      </c>
    </row>
    <row r="542" spans="2:49" ht="12.75">
      <c r="B542" s="338" t="s">
        <v>57</v>
      </c>
      <c r="C542" s="339" t="s">
        <v>58</v>
      </c>
      <c r="D542" s="334"/>
      <c r="E542" s="282"/>
      <c r="F542" s="284"/>
      <c r="G542" s="9">
        <v>0.002</v>
      </c>
      <c r="H542" s="86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59">
        <f t="shared" si="66"/>
        <v>0</v>
      </c>
      <c r="U542" s="161"/>
      <c r="V542" s="162"/>
      <c r="W542" s="255"/>
      <c r="X542" s="32"/>
      <c r="Y542" s="32"/>
      <c r="Z542" s="32"/>
      <c r="AA542" s="32"/>
      <c r="AB542" s="32"/>
      <c r="AC542" s="32"/>
      <c r="AD542" s="33"/>
      <c r="AE542" s="50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</row>
    <row r="543" spans="3:49" ht="13.5" thickBot="1">
      <c r="C543" s="48"/>
      <c r="D543" s="5"/>
      <c r="E543" s="282"/>
      <c r="F543" s="284"/>
      <c r="G543" s="9"/>
      <c r="H543" s="86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59">
        <f t="shared" si="66"/>
        <v>0</v>
      </c>
      <c r="U543" s="161"/>
      <c r="V543" s="162"/>
      <c r="W543" s="255"/>
      <c r="X543" s="32"/>
      <c r="Y543" s="32"/>
      <c r="Z543" s="32"/>
      <c r="AA543" s="32"/>
      <c r="AB543" s="32"/>
      <c r="AC543" s="32"/>
      <c r="AD543" s="33"/>
      <c r="AE543" s="50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</row>
    <row r="544" spans="3:49" ht="13.5" thickBot="1">
      <c r="C544" s="7" t="s">
        <v>253</v>
      </c>
      <c r="D544" s="21">
        <f>SUM(D518:D542)</f>
        <v>1.191</v>
      </c>
      <c r="E544" s="292"/>
      <c r="F544" s="293"/>
      <c r="G544" s="21">
        <f>SUM(G518:G542)</f>
        <v>0.025999999999999995</v>
      </c>
      <c r="H544" s="93">
        <f aca="true" t="shared" si="70" ref="H544:S544">SUM(H518:H543)</f>
        <v>0</v>
      </c>
      <c r="I544" s="93">
        <f t="shared" si="70"/>
        <v>0</v>
      </c>
      <c r="J544" s="93">
        <f t="shared" si="70"/>
        <v>0</v>
      </c>
      <c r="K544" s="93">
        <f t="shared" si="70"/>
        <v>0</v>
      </c>
      <c r="L544" s="93">
        <f t="shared" si="70"/>
        <v>0</v>
      </c>
      <c r="M544" s="93">
        <f t="shared" si="70"/>
        <v>0</v>
      </c>
      <c r="N544" s="93">
        <f t="shared" si="70"/>
        <v>0</v>
      </c>
      <c r="O544" s="93">
        <f t="shared" si="70"/>
        <v>0</v>
      </c>
      <c r="P544" s="93">
        <f t="shared" si="70"/>
        <v>0</v>
      </c>
      <c r="Q544" s="93">
        <f t="shared" si="70"/>
        <v>0</v>
      </c>
      <c r="R544" s="93">
        <f t="shared" si="70"/>
        <v>0</v>
      </c>
      <c r="S544" s="93">
        <f t="shared" si="70"/>
        <v>0</v>
      </c>
      <c r="T544" s="21">
        <f>SUM(T518:T541)</f>
        <v>0.19850000000000004</v>
      </c>
      <c r="U544" s="161"/>
      <c r="V544" s="162"/>
      <c r="W544" s="255"/>
      <c r="X544" s="21">
        <f>SUM(X518:X541)</f>
        <v>0.15000000000000002</v>
      </c>
      <c r="Y544" s="21">
        <f>SUM(Y518:Y541)</f>
        <v>0.09</v>
      </c>
      <c r="Z544" s="21">
        <f aca="true" t="shared" si="71" ref="Z544:AW544">SUM(Z518:Z541)</f>
        <v>0</v>
      </c>
      <c r="AA544" s="21">
        <f t="shared" si="71"/>
        <v>0.036</v>
      </c>
      <c r="AB544" s="21">
        <f>SUM(AB518:AB541)</f>
        <v>0.376</v>
      </c>
      <c r="AC544" s="21">
        <f t="shared" si="71"/>
        <v>0.37799999999999995</v>
      </c>
      <c r="AD544" s="21">
        <f>SUM(AD518:AD541)</f>
        <v>0.161</v>
      </c>
      <c r="AE544" s="349">
        <f t="shared" si="71"/>
        <v>1.191</v>
      </c>
      <c r="AG544" s="21">
        <f t="shared" si="71"/>
        <v>0</v>
      </c>
      <c r="AH544" s="21">
        <f t="shared" si="71"/>
        <v>0</v>
      </c>
      <c r="AI544" s="21">
        <f t="shared" si="71"/>
        <v>0</v>
      </c>
      <c r="AJ544" s="21">
        <f t="shared" si="71"/>
        <v>0</v>
      </c>
      <c r="AK544" s="21">
        <f t="shared" si="71"/>
        <v>0</v>
      </c>
      <c r="AL544" s="21">
        <f t="shared" si="71"/>
        <v>0</v>
      </c>
      <c r="AM544" s="21">
        <f t="shared" si="71"/>
        <v>0</v>
      </c>
      <c r="AN544" s="21">
        <f t="shared" si="71"/>
        <v>0</v>
      </c>
      <c r="AO544" s="21">
        <f t="shared" si="71"/>
        <v>0</v>
      </c>
      <c r="AP544" s="21">
        <f t="shared" si="71"/>
        <v>0</v>
      </c>
      <c r="AQ544" s="21">
        <f t="shared" si="71"/>
        <v>0</v>
      </c>
      <c r="AR544" s="21">
        <f t="shared" si="71"/>
        <v>0</v>
      </c>
      <c r="AS544" s="21">
        <f t="shared" si="71"/>
        <v>0</v>
      </c>
      <c r="AT544" s="21">
        <f t="shared" si="71"/>
        <v>0</v>
      </c>
      <c r="AU544" s="21">
        <f t="shared" si="71"/>
        <v>0</v>
      </c>
      <c r="AV544" s="21">
        <f t="shared" si="71"/>
        <v>0.37799999999999995</v>
      </c>
      <c r="AW544" s="21">
        <f t="shared" si="71"/>
        <v>0.37799999999999995</v>
      </c>
    </row>
    <row r="545" spans="3:49" ht="12.75">
      <c r="C545" s="7"/>
      <c r="D545" s="7"/>
      <c r="E545" s="300"/>
      <c r="F545" s="301"/>
      <c r="G545" s="168"/>
      <c r="H545" s="86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207"/>
      <c r="U545" s="161">
        <f aca="true" t="shared" si="72" ref="U545:U586">IF(SUM(H545:S545)-D545=0,"","adjust profile")</f>
      </c>
      <c r="V545" s="162"/>
      <c r="W545" s="255"/>
      <c r="X545" s="32"/>
      <c r="Y545" s="32"/>
      <c r="Z545" s="32"/>
      <c r="AA545" s="32"/>
      <c r="AB545" s="32"/>
      <c r="AC545" s="32"/>
      <c r="AD545" s="33"/>
      <c r="AE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</row>
    <row r="546" spans="3:49" ht="12.75">
      <c r="C546" s="7" t="s">
        <v>255</v>
      </c>
      <c r="D546" s="7"/>
      <c r="E546" s="300"/>
      <c r="F546" s="301"/>
      <c r="G546" s="168"/>
      <c r="H546" s="86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9"/>
      <c r="U546" s="161">
        <f t="shared" si="72"/>
      </c>
      <c r="V546" s="162"/>
      <c r="W546" s="255"/>
      <c r="X546" s="32"/>
      <c r="Y546" s="32"/>
      <c r="Z546" s="32"/>
      <c r="AA546" s="32"/>
      <c r="AB546" s="32"/>
      <c r="AC546" s="32"/>
      <c r="AD546" s="33"/>
      <c r="AE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</row>
    <row r="547" spans="2:49" ht="12.75">
      <c r="B547" s="29" t="s">
        <v>1181</v>
      </c>
      <c r="C547" s="47" t="s">
        <v>148</v>
      </c>
      <c r="D547" s="182">
        <v>0.1</v>
      </c>
      <c r="E547" s="294"/>
      <c r="F547" s="295"/>
      <c r="G547" s="9">
        <v>0.002</v>
      </c>
      <c r="H547" s="86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59">
        <f>D547/12*2</f>
        <v>0.016666666666666666</v>
      </c>
      <c r="U547" s="161" t="str">
        <f t="shared" si="72"/>
        <v>adjust profile</v>
      </c>
      <c r="V547" s="162"/>
      <c r="W547" s="255"/>
      <c r="X547" s="32"/>
      <c r="Y547" s="32"/>
      <c r="Z547" s="32"/>
      <c r="AA547" s="32"/>
      <c r="AB547" s="32">
        <v>0.1</v>
      </c>
      <c r="AC547" s="32">
        <f>SUM(AG547:AV547)</f>
        <v>0</v>
      </c>
      <c r="AD547" s="33"/>
      <c r="AE547" s="33">
        <f aca="true" t="shared" si="73" ref="AE547:AE565">SUM(X547:AD547)</f>
        <v>0.1</v>
      </c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>
        <f>SUM(AG547:AV547)</f>
        <v>0</v>
      </c>
    </row>
    <row r="548" spans="2:49" ht="12.75">
      <c r="B548" s="29" t="s">
        <v>1177</v>
      </c>
      <c r="C548" s="47" t="s">
        <v>262</v>
      </c>
      <c r="D548" s="182">
        <v>0.05</v>
      </c>
      <c r="E548" s="294"/>
      <c r="F548" s="295"/>
      <c r="G548" s="9">
        <v>0.001</v>
      </c>
      <c r="H548" s="86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59">
        <f aca="true" t="shared" si="74" ref="T548:T564">D548/12*2</f>
        <v>0.008333333333333333</v>
      </c>
      <c r="U548" s="161" t="str">
        <f t="shared" si="72"/>
        <v>adjust profile</v>
      </c>
      <c r="V548" s="162"/>
      <c r="W548" s="255"/>
      <c r="X548" s="32"/>
      <c r="Y548" s="32"/>
      <c r="Z548" s="32"/>
      <c r="AA548" s="32"/>
      <c r="AB548" s="32">
        <v>0.05</v>
      </c>
      <c r="AC548" s="32">
        <f>SUM(AG548:AV548)</f>
        <v>0</v>
      </c>
      <c r="AD548" s="33"/>
      <c r="AE548" s="33">
        <f t="shared" si="73"/>
        <v>0.05</v>
      </c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>
        <f>SUM(AG548:AV548)</f>
        <v>0</v>
      </c>
    </row>
    <row r="549" spans="2:49" ht="12.75">
      <c r="B549" s="29" t="s">
        <v>1174</v>
      </c>
      <c r="C549" s="47" t="s">
        <v>291</v>
      </c>
      <c r="D549" s="183">
        <f>0.52-0.046</f>
        <v>0.47400000000000003</v>
      </c>
      <c r="E549" s="294"/>
      <c r="F549" s="295"/>
      <c r="G549" s="9">
        <v>0.001</v>
      </c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59">
        <f t="shared" si="74"/>
        <v>0.079</v>
      </c>
      <c r="U549" s="161" t="str">
        <f t="shared" si="72"/>
        <v>adjust profile</v>
      </c>
      <c r="V549" s="162"/>
      <c r="W549" s="255"/>
      <c r="X549" s="32"/>
      <c r="Y549" s="32"/>
      <c r="Z549" s="32"/>
      <c r="AA549" s="32"/>
      <c r="AB549" s="32">
        <v>0.25</v>
      </c>
      <c r="AC549" s="32">
        <f>SUM(AG549:AV549)</f>
        <v>0.224</v>
      </c>
      <c r="AD549" s="33"/>
      <c r="AE549" s="33">
        <f t="shared" si="73"/>
        <v>0.474</v>
      </c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>
        <v>0.224</v>
      </c>
      <c r="AS549" s="33"/>
      <c r="AT549" s="33"/>
      <c r="AU549" s="33"/>
      <c r="AV549" s="33"/>
      <c r="AW549" s="33">
        <f>SUM(AG549:AV549)</f>
        <v>0.224</v>
      </c>
    </row>
    <row r="550" spans="2:49" ht="12.75">
      <c r="B550" s="29" t="s">
        <v>1178</v>
      </c>
      <c r="C550" s="47" t="s">
        <v>338</v>
      </c>
      <c r="D550" s="183"/>
      <c r="E550" s="148"/>
      <c r="F550" s="148"/>
      <c r="G550" s="9">
        <v>0.005</v>
      </c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59">
        <f t="shared" si="74"/>
        <v>0</v>
      </c>
      <c r="U550" s="161"/>
      <c r="V550" s="162"/>
      <c r="W550" s="255"/>
      <c r="X550" s="32"/>
      <c r="Y550" s="32"/>
      <c r="Z550" s="32"/>
      <c r="AA550" s="32"/>
      <c r="AB550" s="32"/>
      <c r="AC550" s="32"/>
      <c r="AD550" s="33"/>
      <c r="AE550" s="33">
        <f t="shared" si="73"/>
        <v>0</v>
      </c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</row>
    <row r="551" spans="3:49" ht="12.75">
      <c r="C551" s="47" t="s">
        <v>71</v>
      </c>
      <c r="D551" s="183">
        <v>0.046</v>
      </c>
      <c r="G551" s="5"/>
      <c r="T551" s="159">
        <f t="shared" si="74"/>
        <v>0.007666666666666666</v>
      </c>
      <c r="U551" s="161" t="str">
        <f t="shared" si="72"/>
        <v>adjust profile</v>
      </c>
      <c r="V551" s="162"/>
      <c r="W551" s="255"/>
      <c r="X551" s="32"/>
      <c r="Y551" s="32"/>
      <c r="Z551" s="32"/>
      <c r="AA551" s="32"/>
      <c r="AB551" s="32"/>
      <c r="AC551" s="32">
        <f>SUM(AG551:AV551)</f>
        <v>0.046</v>
      </c>
      <c r="AD551" s="33"/>
      <c r="AE551" s="33">
        <f t="shared" si="73"/>
        <v>0.046</v>
      </c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>
        <v>0.046</v>
      </c>
      <c r="AS551" s="33"/>
      <c r="AT551" s="33"/>
      <c r="AU551" s="33"/>
      <c r="AV551" s="33"/>
      <c r="AW551" s="33">
        <f>SUM(AG551:AV551)</f>
        <v>0.046</v>
      </c>
    </row>
    <row r="552" spans="2:49" ht="12.75">
      <c r="B552" s="29" t="s">
        <v>1175</v>
      </c>
      <c r="C552" s="5" t="s">
        <v>310</v>
      </c>
      <c r="D552" s="9">
        <v>0.02</v>
      </c>
      <c r="E552" s="294">
        <v>38504</v>
      </c>
      <c r="F552" s="295">
        <v>38534</v>
      </c>
      <c r="G552" s="9">
        <v>0.001</v>
      </c>
      <c r="H552" s="86"/>
      <c r="I552" s="12"/>
      <c r="J552" s="12"/>
      <c r="K552" s="12"/>
      <c r="L552" s="12">
        <v>0.064</v>
      </c>
      <c r="M552" s="12"/>
      <c r="N552" s="12"/>
      <c r="O552" s="12"/>
      <c r="P552" s="12"/>
      <c r="Q552" s="12"/>
      <c r="R552" s="12"/>
      <c r="S552" s="12"/>
      <c r="T552" s="159">
        <f t="shared" si="74"/>
        <v>0.0033333333333333335</v>
      </c>
      <c r="U552" s="161" t="str">
        <f t="shared" si="72"/>
        <v>adjust profile</v>
      </c>
      <c r="V552" s="162"/>
      <c r="W552" s="255">
        <v>38481</v>
      </c>
      <c r="X552" s="172"/>
      <c r="Y552" s="32"/>
      <c r="Z552" s="32"/>
      <c r="AA552" s="32">
        <v>0.02</v>
      </c>
      <c r="AC552" s="32">
        <f>SUM(AG552:AV552)</f>
        <v>0</v>
      </c>
      <c r="AE552" s="33">
        <f t="shared" si="73"/>
        <v>0.02</v>
      </c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>
        <f>SUM(AG552:AV552)</f>
        <v>0</v>
      </c>
    </row>
    <row r="553" spans="3:49" ht="12.75">
      <c r="C553" s="5" t="s">
        <v>327</v>
      </c>
      <c r="D553" s="9">
        <v>0.03</v>
      </c>
      <c r="E553" s="294"/>
      <c r="F553" s="295"/>
      <c r="G553" s="9"/>
      <c r="H553" s="86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59">
        <f t="shared" si="74"/>
        <v>0.005</v>
      </c>
      <c r="U553" s="161"/>
      <c r="V553" s="162"/>
      <c r="W553" s="255"/>
      <c r="X553" s="172"/>
      <c r="Y553" s="32"/>
      <c r="Z553" s="32">
        <v>0.03</v>
      </c>
      <c r="AA553" s="32"/>
      <c r="AC553" s="32">
        <f>SUM(AG553:AV553)</f>
        <v>0</v>
      </c>
      <c r="AE553" s="33">
        <f t="shared" si="73"/>
        <v>0.03</v>
      </c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>
        <f>SUM(AG553:AV553)</f>
        <v>0</v>
      </c>
    </row>
    <row r="554" spans="3:49" ht="12.75">
      <c r="C554" s="5" t="s">
        <v>326</v>
      </c>
      <c r="D554" s="9">
        <v>0.095</v>
      </c>
      <c r="E554" s="294"/>
      <c r="F554" s="295"/>
      <c r="G554" s="9"/>
      <c r="H554" s="86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59">
        <f t="shared" si="74"/>
        <v>0.015833333333333335</v>
      </c>
      <c r="U554" s="161"/>
      <c r="V554" s="162"/>
      <c r="W554" s="255"/>
      <c r="X554" s="172"/>
      <c r="Y554" s="32"/>
      <c r="Z554" s="32"/>
      <c r="AA554" s="32"/>
      <c r="AC554" s="32">
        <f>SUM(AG554:AV554)</f>
        <v>0.095</v>
      </c>
      <c r="AE554" s="33">
        <f t="shared" si="73"/>
        <v>0.095</v>
      </c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>
        <v>0.095</v>
      </c>
      <c r="AW554" s="33">
        <f>SUM(AG554:AV554)</f>
        <v>0.095</v>
      </c>
    </row>
    <row r="555" spans="3:49" ht="12.75">
      <c r="C555" s="196" t="s">
        <v>353</v>
      </c>
      <c r="D555" s="78">
        <v>0.189</v>
      </c>
      <c r="E555" s="294"/>
      <c r="F555" s="295"/>
      <c r="G555" s="9"/>
      <c r="H555" s="86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59">
        <f t="shared" si="74"/>
        <v>0.0315</v>
      </c>
      <c r="U555" s="161"/>
      <c r="V555" s="162"/>
      <c r="W555" s="255"/>
      <c r="X555" s="172"/>
      <c r="Y555" s="32"/>
      <c r="Z555" s="32"/>
      <c r="AA555" s="32"/>
      <c r="AB555" s="6">
        <v>0.189</v>
      </c>
      <c r="AC555" s="32"/>
      <c r="AE555" s="33">
        <f t="shared" si="73"/>
        <v>0.189</v>
      </c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</row>
    <row r="556" spans="3:49" ht="12.75">
      <c r="C556" s="195" t="s">
        <v>354</v>
      </c>
      <c r="D556" s="211">
        <v>0.005</v>
      </c>
      <c r="E556" s="294"/>
      <c r="F556" s="295"/>
      <c r="G556" s="9"/>
      <c r="H556" s="86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59">
        <f t="shared" si="74"/>
        <v>0.0008333333333333334</v>
      </c>
      <c r="U556" s="161"/>
      <c r="V556" s="162"/>
      <c r="W556" s="255"/>
      <c r="X556" s="172"/>
      <c r="Y556" s="32">
        <v>0.005</v>
      </c>
      <c r="Z556" s="32"/>
      <c r="AA556" s="32"/>
      <c r="AC556" s="32"/>
      <c r="AE556" s="33">
        <f t="shared" si="73"/>
        <v>0.005</v>
      </c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</row>
    <row r="557" spans="3:49" ht="12.75">
      <c r="C557" s="195" t="s">
        <v>355</v>
      </c>
      <c r="D557" s="211">
        <v>0.106</v>
      </c>
      <c r="E557" s="294"/>
      <c r="F557" s="295"/>
      <c r="G557" s="9"/>
      <c r="H557" s="86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59">
        <f t="shared" si="74"/>
        <v>0.017666666666666667</v>
      </c>
      <c r="U557" s="161"/>
      <c r="V557" s="162"/>
      <c r="W557" s="255"/>
      <c r="X557" s="172"/>
      <c r="Y557" s="32"/>
      <c r="Z557" s="32"/>
      <c r="AA557" s="32"/>
      <c r="AC557" s="32"/>
      <c r="AD557" s="209">
        <v>0.106</v>
      </c>
      <c r="AE557" s="33">
        <f t="shared" si="73"/>
        <v>0.106</v>
      </c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</row>
    <row r="558" spans="3:49" ht="12.75">
      <c r="C558" s="195" t="s">
        <v>356</v>
      </c>
      <c r="D558" s="211">
        <v>0.012</v>
      </c>
      <c r="E558" s="294"/>
      <c r="F558" s="295"/>
      <c r="G558" s="9"/>
      <c r="H558" s="86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59">
        <f t="shared" si="74"/>
        <v>0.002</v>
      </c>
      <c r="U558" s="161"/>
      <c r="V558" s="162"/>
      <c r="W558" s="255"/>
      <c r="X558" s="172"/>
      <c r="Y558" s="32"/>
      <c r="Z558" s="32"/>
      <c r="AA558" s="32"/>
      <c r="AC558" s="32"/>
      <c r="AD558" s="209">
        <v>0.012</v>
      </c>
      <c r="AE558" s="33">
        <f t="shared" si="73"/>
        <v>0.012</v>
      </c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</row>
    <row r="559" spans="3:49" ht="12.75">
      <c r="C559" s="195" t="s">
        <v>357</v>
      </c>
      <c r="D559" s="211">
        <v>0.085</v>
      </c>
      <c r="E559" s="294"/>
      <c r="F559" s="295"/>
      <c r="G559" s="9"/>
      <c r="H559" s="86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59">
        <f t="shared" si="74"/>
        <v>0.014166666666666668</v>
      </c>
      <c r="U559" s="161"/>
      <c r="V559" s="162"/>
      <c r="W559" s="255"/>
      <c r="X559" s="172"/>
      <c r="Y559" s="32"/>
      <c r="Z559" s="32"/>
      <c r="AA559" s="32"/>
      <c r="AC559" s="32"/>
      <c r="AD559" s="209">
        <v>0.085</v>
      </c>
      <c r="AE559" s="33">
        <f t="shared" si="73"/>
        <v>0.085</v>
      </c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</row>
    <row r="560" spans="3:49" ht="12.75">
      <c r="C560" s="182" t="s">
        <v>358</v>
      </c>
      <c r="D560" s="211">
        <v>0.024</v>
      </c>
      <c r="E560" s="294"/>
      <c r="F560" s="295"/>
      <c r="G560" s="9"/>
      <c r="H560" s="86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59">
        <f t="shared" si="74"/>
        <v>0.004</v>
      </c>
      <c r="U560" s="161"/>
      <c r="V560" s="162"/>
      <c r="W560" s="255"/>
      <c r="X560" s="172"/>
      <c r="Y560" s="32"/>
      <c r="Z560" s="32"/>
      <c r="AA560" s="32"/>
      <c r="AC560" s="32"/>
      <c r="AD560" s="209">
        <v>0.024</v>
      </c>
      <c r="AE560" s="33">
        <f t="shared" si="73"/>
        <v>0.024</v>
      </c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</row>
    <row r="561" spans="3:49" ht="12.75">
      <c r="C561" s="182" t="s">
        <v>359</v>
      </c>
      <c r="D561" s="211">
        <v>0.04</v>
      </c>
      <c r="E561" s="294"/>
      <c r="F561" s="295"/>
      <c r="G561" s="9"/>
      <c r="H561" s="86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59">
        <f t="shared" si="74"/>
        <v>0.006666666666666667</v>
      </c>
      <c r="U561" s="161"/>
      <c r="V561" s="162"/>
      <c r="W561" s="255"/>
      <c r="X561" s="172"/>
      <c r="Y561" s="32"/>
      <c r="Z561" s="32"/>
      <c r="AA561" s="32"/>
      <c r="AC561" s="32"/>
      <c r="AD561" s="209">
        <v>0.04</v>
      </c>
      <c r="AE561" s="33">
        <f t="shared" si="73"/>
        <v>0.04</v>
      </c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</row>
    <row r="562" spans="3:49" ht="12.75">
      <c r="C562" s="196" t="s">
        <v>360</v>
      </c>
      <c r="D562" s="211">
        <v>0.013</v>
      </c>
      <c r="E562" s="294"/>
      <c r="F562" s="295"/>
      <c r="G562" s="9"/>
      <c r="H562" s="86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59">
        <f t="shared" si="74"/>
        <v>0.0021666666666666666</v>
      </c>
      <c r="U562" s="161"/>
      <c r="V562" s="162"/>
      <c r="W562" s="255"/>
      <c r="X562" s="172"/>
      <c r="Y562" s="32"/>
      <c r="Z562" s="32"/>
      <c r="AA562" s="32"/>
      <c r="AC562" s="32"/>
      <c r="AD562" s="209">
        <v>0.013</v>
      </c>
      <c r="AE562" s="33">
        <f t="shared" si="73"/>
        <v>0.013</v>
      </c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</row>
    <row r="563" spans="2:49" ht="12.75">
      <c r="B563" s="29" t="s">
        <v>1179</v>
      </c>
      <c r="C563" s="196" t="s">
        <v>1180</v>
      </c>
      <c r="D563" s="211"/>
      <c r="E563" s="294"/>
      <c r="F563" s="295"/>
      <c r="G563" s="9">
        <v>0.01</v>
      </c>
      <c r="H563" s="86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59">
        <f t="shared" si="74"/>
        <v>0</v>
      </c>
      <c r="U563" s="161"/>
      <c r="V563" s="162"/>
      <c r="W563" s="255"/>
      <c r="X563" s="172"/>
      <c r="Y563" s="32"/>
      <c r="Z563" s="32"/>
      <c r="AA563" s="32"/>
      <c r="AC563" s="32"/>
      <c r="AD563" s="209"/>
      <c r="AE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</row>
    <row r="564" spans="2:49" ht="12.75">
      <c r="B564" s="29" t="s">
        <v>1176</v>
      </c>
      <c r="C564" s="182" t="s">
        <v>361</v>
      </c>
      <c r="D564" s="211">
        <v>0.024</v>
      </c>
      <c r="E564" s="294"/>
      <c r="F564" s="295"/>
      <c r="G564" s="9">
        <v>0.024</v>
      </c>
      <c r="H564" s="86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59">
        <f t="shared" si="74"/>
        <v>0.004</v>
      </c>
      <c r="U564" s="161"/>
      <c r="V564" s="162"/>
      <c r="W564" s="255"/>
      <c r="X564" s="172"/>
      <c r="Y564" s="32"/>
      <c r="Z564" s="32"/>
      <c r="AA564" s="32"/>
      <c r="AC564" s="32"/>
      <c r="AD564" s="209">
        <v>0.024</v>
      </c>
      <c r="AE564" s="33">
        <f t="shared" si="73"/>
        <v>0.024</v>
      </c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</row>
    <row r="565" spans="3:49" ht="13.5" thickBot="1">
      <c r="C565" s="5" t="s">
        <v>311</v>
      </c>
      <c r="D565" s="9">
        <v>0.016</v>
      </c>
      <c r="E565" s="294"/>
      <c r="F565" s="295"/>
      <c r="G565" s="9"/>
      <c r="H565" s="86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205">
        <f>D565/12</f>
        <v>0.0013333333333333333</v>
      </c>
      <c r="U565" s="161" t="str">
        <f t="shared" si="72"/>
        <v>adjust profile</v>
      </c>
      <c r="V565" s="162"/>
      <c r="W565" s="255"/>
      <c r="X565" s="172"/>
      <c r="Y565" s="32"/>
      <c r="Z565" s="32"/>
      <c r="AA565" s="32"/>
      <c r="AC565" s="32">
        <f>SUM(AG565:AV565)</f>
        <v>0.016</v>
      </c>
      <c r="AE565" s="33">
        <f t="shared" si="73"/>
        <v>0.016</v>
      </c>
      <c r="AG565" s="33"/>
      <c r="AH565" s="33"/>
      <c r="AI565" s="33"/>
      <c r="AJ565" s="33">
        <v>0.016</v>
      </c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>
        <f>SUM(AG565:AV565)</f>
        <v>0.016</v>
      </c>
    </row>
    <row r="566" spans="3:49" ht="13.5" thickBot="1">
      <c r="C566" s="7" t="s">
        <v>292</v>
      </c>
      <c r="D566" s="21">
        <f>SUM(D547:D565)</f>
        <v>1.3290000000000002</v>
      </c>
      <c r="E566" s="292"/>
      <c r="F566" s="293"/>
      <c r="G566" s="21">
        <f aca="true" t="shared" si="75" ref="G566:S566">SUM(G547:G565)</f>
        <v>0.044000000000000004</v>
      </c>
      <c r="H566" s="92">
        <f t="shared" si="75"/>
        <v>0</v>
      </c>
      <c r="I566" s="93">
        <f t="shared" si="75"/>
        <v>0</v>
      </c>
      <c r="J566" s="93">
        <f t="shared" si="75"/>
        <v>0</v>
      </c>
      <c r="K566" s="93">
        <f t="shared" si="75"/>
        <v>0</v>
      </c>
      <c r="L566" s="93">
        <f t="shared" si="75"/>
        <v>0.064</v>
      </c>
      <c r="M566" s="93">
        <f t="shared" si="75"/>
        <v>0</v>
      </c>
      <c r="N566" s="93">
        <f t="shared" si="75"/>
        <v>0</v>
      </c>
      <c r="O566" s="93">
        <f t="shared" si="75"/>
        <v>0</v>
      </c>
      <c r="P566" s="93">
        <f t="shared" si="75"/>
        <v>0</v>
      </c>
      <c r="Q566" s="93">
        <f t="shared" si="75"/>
        <v>0</v>
      </c>
      <c r="R566" s="93">
        <f t="shared" si="75"/>
        <v>0</v>
      </c>
      <c r="S566" s="93">
        <f t="shared" si="75"/>
        <v>0</v>
      </c>
      <c r="T566" s="206">
        <f>D566/12</f>
        <v>0.11075000000000002</v>
      </c>
      <c r="U566" s="161" t="str">
        <f t="shared" si="72"/>
        <v>adjust profile</v>
      </c>
      <c r="V566" s="162"/>
      <c r="W566" s="255"/>
      <c r="X566" s="173">
        <f aca="true" t="shared" si="76" ref="X566:AE566">SUM(X547:X565)</f>
        <v>0</v>
      </c>
      <c r="Y566" s="173">
        <f t="shared" si="76"/>
        <v>0.005</v>
      </c>
      <c r="Z566" s="173">
        <f t="shared" si="76"/>
        <v>0.03</v>
      </c>
      <c r="AA566" s="173">
        <f t="shared" si="76"/>
        <v>0.02</v>
      </c>
      <c r="AB566" s="173">
        <f t="shared" si="76"/>
        <v>0.589</v>
      </c>
      <c r="AC566" s="173">
        <f t="shared" si="76"/>
        <v>0.381</v>
      </c>
      <c r="AD566" s="173">
        <f t="shared" si="76"/>
        <v>0.30400000000000005</v>
      </c>
      <c r="AE566" s="26">
        <f t="shared" si="76"/>
        <v>1.329</v>
      </c>
      <c r="AG566" s="21">
        <f aca="true" t="shared" si="77" ref="AG566:AV566">SUM(AG547:AG565)</f>
        <v>0</v>
      </c>
      <c r="AH566" s="21">
        <f t="shared" si="77"/>
        <v>0</v>
      </c>
      <c r="AI566" s="21">
        <f t="shared" si="77"/>
        <v>0</v>
      </c>
      <c r="AJ566" s="21">
        <f t="shared" si="77"/>
        <v>0.016</v>
      </c>
      <c r="AK566" s="21">
        <f t="shared" si="77"/>
        <v>0</v>
      </c>
      <c r="AL566" s="21">
        <f t="shared" si="77"/>
        <v>0</v>
      </c>
      <c r="AM566" s="21">
        <f t="shared" si="77"/>
        <v>0</v>
      </c>
      <c r="AN566" s="21">
        <f t="shared" si="77"/>
        <v>0</v>
      </c>
      <c r="AO566" s="21">
        <f t="shared" si="77"/>
        <v>0</v>
      </c>
      <c r="AP566" s="21">
        <f t="shared" si="77"/>
        <v>0</v>
      </c>
      <c r="AQ566" s="21">
        <f t="shared" si="77"/>
        <v>0</v>
      </c>
      <c r="AR566" s="21">
        <f t="shared" si="77"/>
        <v>0.27</v>
      </c>
      <c r="AS566" s="21">
        <f t="shared" si="77"/>
        <v>0</v>
      </c>
      <c r="AT566" s="21">
        <f t="shared" si="77"/>
        <v>0</v>
      </c>
      <c r="AU566" s="21">
        <f t="shared" si="77"/>
        <v>0</v>
      </c>
      <c r="AV566" s="21">
        <f t="shared" si="77"/>
        <v>0.095</v>
      </c>
      <c r="AW566" s="186">
        <f>SUM(AG566:AV566)</f>
        <v>0.381</v>
      </c>
    </row>
    <row r="567" spans="3:49" ht="12.75">
      <c r="C567" s="7"/>
      <c r="E567" s="300"/>
      <c r="F567" s="301"/>
      <c r="G567" s="168"/>
      <c r="H567" s="86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204"/>
      <c r="U567" s="161">
        <f t="shared" si="72"/>
      </c>
      <c r="V567" s="162"/>
      <c r="W567" s="255"/>
      <c r="X567" s="32"/>
      <c r="Y567" s="32"/>
      <c r="Z567" s="32"/>
      <c r="AA567" s="32"/>
      <c r="AB567" s="32"/>
      <c r="AC567" s="32"/>
      <c r="AD567" s="33"/>
      <c r="AE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</row>
    <row r="568" spans="3:49" ht="12.75">
      <c r="C568" s="7" t="s">
        <v>230</v>
      </c>
      <c r="D568" s="5"/>
      <c r="E568" s="282"/>
      <c r="F568" s="284"/>
      <c r="G568" s="168"/>
      <c r="H568" s="86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59"/>
      <c r="U568" s="161">
        <f t="shared" si="72"/>
      </c>
      <c r="V568" s="162"/>
      <c r="W568" s="255"/>
      <c r="X568" s="32"/>
      <c r="Y568" s="32"/>
      <c r="Z568" s="32"/>
      <c r="AA568" s="32"/>
      <c r="AB568" s="32"/>
      <c r="AC568" s="32"/>
      <c r="AD568" s="33"/>
      <c r="AE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</row>
    <row r="569" spans="3:49" ht="12.75">
      <c r="C569" s="47" t="s">
        <v>150</v>
      </c>
      <c r="D569" s="182">
        <v>2.453</v>
      </c>
      <c r="E569" s="282"/>
      <c r="G569" s="9"/>
      <c r="H569" s="86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59">
        <f>D569/12*2</f>
        <v>0.4088333333333333</v>
      </c>
      <c r="U569" s="161" t="str">
        <f t="shared" si="72"/>
        <v>adjust profile</v>
      </c>
      <c r="V569" s="162"/>
      <c r="W569" s="255"/>
      <c r="X569" s="32"/>
      <c r="Y569" s="32"/>
      <c r="Z569" s="32"/>
      <c r="AA569" s="32">
        <v>0.114</v>
      </c>
      <c r="AB569" s="32">
        <v>0.279</v>
      </c>
      <c r="AC569" s="32">
        <f>SUM(AG569:AV569)</f>
        <v>2.022</v>
      </c>
      <c r="AD569" s="33">
        <v>0.038</v>
      </c>
      <c r="AE569" s="33">
        <f>SUM(X569:AD569)</f>
        <v>2.453</v>
      </c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>
        <v>2.022</v>
      </c>
      <c r="AS569" s="33"/>
      <c r="AT569" s="33"/>
      <c r="AU569" s="33"/>
      <c r="AV569" s="33"/>
      <c r="AW569" s="33">
        <f>SUM(AG569:AV569)</f>
        <v>2.022</v>
      </c>
    </row>
    <row r="570" spans="3:49" ht="14.25" customHeight="1">
      <c r="C570" s="47" t="s">
        <v>293</v>
      </c>
      <c r="D570" s="182">
        <f>0.01+0.091</f>
        <v>0.10099999999999999</v>
      </c>
      <c r="E570" s="282"/>
      <c r="G570" s="9">
        <v>0.006</v>
      </c>
      <c r="H570" s="86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59">
        <f aca="true" t="shared" si="78" ref="T570:T605">D570/12*2</f>
        <v>0.016833333333333332</v>
      </c>
      <c r="U570" s="161" t="str">
        <f t="shared" si="72"/>
        <v>adjust profile</v>
      </c>
      <c r="V570" s="162"/>
      <c r="W570" s="255"/>
      <c r="X570" s="32"/>
      <c r="Y570" s="32"/>
      <c r="Z570" s="32"/>
      <c r="AB570" s="32">
        <v>0.091</v>
      </c>
      <c r="AC570" s="32">
        <f>SUM(AG570:AV570)</f>
        <v>0.01</v>
      </c>
      <c r="AD570" s="33"/>
      <c r="AE570" s="33">
        <f>SUM(X570:AD570)</f>
        <v>0.10099999999999999</v>
      </c>
      <c r="AG570" s="33"/>
      <c r="AH570" s="33"/>
      <c r="AI570" s="33"/>
      <c r="AJ570" s="33"/>
      <c r="AK570" s="33"/>
      <c r="AL570" s="33"/>
      <c r="AM570" s="33"/>
      <c r="AN570" s="33"/>
      <c r="AO570" s="33"/>
      <c r="AR570" s="33">
        <f>0.01</f>
        <v>0.01</v>
      </c>
      <c r="AS570" s="33"/>
      <c r="AT570" s="33"/>
      <c r="AU570" s="33"/>
      <c r="AW570" s="33">
        <f aca="true" t="shared" si="79" ref="AW570:AW606">SUM(AG570:AV570)</f>
        <v>0.01</v>
      </c>
    </row>
    <row r="571" spans="3:49" ht="12.75">
      <c r="C571" s="47" t="s">
        <v>110</v>
      </c>
      <c r="D571" s="182">
        <f>4.401+0.008</f>
        <v>4.409</v>
      </c>
      <c r="E571" s="294"/>
      <c r="F571" s="295"/>
      <c r="G571" s="9">
        <v>0.011</v>
      </c>
      <c r="H571" s="86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59">
        <f t="shared" si="78"/>
        <v>0.7348333333333333</v>
      </c>
      <c r="U571" s="161" t="str">
        <f t="shared" si="72"/>
        <v>adjust profile</v>
      </c>
      <c r="V571" s="162"/>
      <c r="W571" s="255"/>
      <c r="X571" s="32"/>
      <c r="Y571" s="32"/>
      <c r="Z571" s="32"/>
      <c r="AB571" s="32">
        <f>0.492+0.008</f>
        <v>0.5</v>
      </c>
      <c r="AC571" s="32">
        <f>SUM(AG571:AV571)</f>
        <v>2.14</v>
      </c>
      <c r="AD571" s="33">
        <v>1.769</v>
      </c>
      <c r="AE571" s="33">
        <f>SUM(X571:AD571)</f>
        <v>4.409</v>
      </c>
      <c r="AF571" s="336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>
        <v>0.29</v>
      </c>
      <c r="AQ571" s="33">
        <v>1.35</v>
      </c>
      <c r="AR571" s="33"/>
      <c r="AS571" s="33"/>
      <c r="AT571" s="33"/>
      <c r="AU571" s="33"/>
      <c r="AV571" s="33">
        <v>0.5</v>
      </c>
      <c r="AW571" s="33">
        <f>SUM(AG571:AV571)</f>
        <v>2.14</v>
      </c>
    </row>
    <row r="572" spans="3:49" ht="12.75">
      <c r="C572" s="47" t="s">
        <v>151</v>
      </c>
      <c r="D572" s="182">
        <f>0.195+0.013+0.04+0.01</f>
        <v>0.258</v>
      </c>
      <c r="E572" s="282"/>
      <c r="F572" s="284"/>
      <c r="G572" s="5">
        <v>0.013</v>
      </c>
      <c r="H572" s="47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59">
        <f t="shared" si="78"/>
        <v>0.043000000000000003</v>
      </c>
      <c r="U572" s="161" t="str">
        <f t="shared" si="72"/>
        <v>adjust profile</v>
      </c>
      <c r="V572" s="162"/>
      <c r="W572" s="255"/>
      <c r="X572" s="32"/>
      <c r="Y572" s="32"/>
      <c r="Z572" s="32">
        <f>0.195+0.013+0.04+0.01</f>
        <v>0.258</v>
      </c>
      <c r="AC572" s="32">
        <f aca="true" t="shared" si="80" ref="AC572:AC598">SUM(AG572:AV572)</f>
        <v>0</v>
      </c>
      <c r="AE572" s="33">
        <f aca="true" t="shared" si="81" ref="AE572:AE605">SUM(X572:AD572)</f>
        <v>0.258</v>
      </c>
      <c r="AF572" s="336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>
        <f t="shared" si="79"/>
        <v>0</v>
      </c>
    </row>
    <row r="573" spans="3:49" ht="12.75" hidden="1">
      <c r="C573" s="86"/>
      <c r="D573" s="5"/>
      <c r="E573" s="282"/>
      <c r="F573" s="284"/>
      <c r="G573" s="5"/>
      <c r="H573" s="86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59">
        <f t="shared" si="78"/>
        <v>0</v>
      </c>
      <c r="U573" s="161">
        <f t="shared" si="72"/>
      </c>
      <c r="V573" s="162"/>
      <c r="W573" s="255"/>
      <c r="X573" s="32"/>
      <c r="Y573" s="32"/>
      <c r="Z573" s="32"/>
      <c r="AB573" s="32"/>
      <c r="AC573" s="32">
        <f t="shared" si="80"/>
        <v>0</v>
      </c>
      <c r="AD573" s="33"/>
      <c r="AE573" s="33">
        <f t="shared" si="81"/>
        <v>0</v>
      </c>
      <c r="AF573" s="336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>
        <f t="shared" si="79"/>
        <v>0</v>
      </c>
    </row>
    <row r="574" spans="3:49" ht="12.75" hidden="1">
      <c r="C574" s="86"/>
      <c r="D574" s="5"/>
      <c r="E574" s="282"/>
      <c r="F574" s="284"/>
      <c r="G574" s="5"/>
      <c r="H574" s="86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59">
        <f t="shared" si="78"/>
        <v>0</v>
      </c>
      <c r="U574" s="161">
        <f t="shared" si="72"/>
      </c>
      <c r="V574" s="162"/>
      <c r="W574" s="255"/>
      <c r="X574" s="32"/>
      <c r="Y574" s="32"/>
      <c r="Z574" s="32"/>
      <c r="AB574" s="32"/>
      <c r="AC574" s="32">
        <f t="shared" si="80"/>
        <v>0</v>
      </c>
      <c r="AD574" s="33"/>
      <c r="AE574" s="33">
        <f t="shared" si="81"/>
        <v>0</v>
      </c>
      <c r="AF574" s="336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>
        <f t="shared" si="79"/>
        <v>0</v>
      </c>
    </row>
    <row r="575" spans="3:49" ht="12.75" hidden="1">
      <c r="C575" s="112"/>
      <c r="D575" s="5"/>
      <c r="E575" s="282"/>
      <c r="F575" s="284"/>
      <c r="G575" s="9"/>
      <c r="H575" s="86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59">
        <f t="shared" si="78"/>
        <v>0</v>
      </c>
      <c r="U575" s="161">
        <f t="shared" si="72"/>
      </c>
      <c r="V575" s="162"/>
      <c r="W575" s="255"/>
      <c r="X575" s="32"/>
      <c r="Y575" s="32"/>
      <c r="Z575" s="32"/>
      <c r="AB575" s="32"/>
      <c r="AC575" s="32">
        <f t="shared" si="80"/>
        <v>0</v>
      </c>
      <c r="AD575" s="33"/>
      <c r="AE575" s="33">
        <f t="shared" si="81"/>
        <v>0</v>
      </c>
      <c r="AF575" s="336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>
        <f t="shared" si="79"/>
        <v>0</v>
      </c>
    </row>
    <row r="576" spans="3:49" ht="12.75" hidden="1">
      <c r="C576" s="112"/>
      <c r="D576" s="5"/>
      <c r="E576" s="282"/>
      <c r="F576" s="284"/>
      <c r="G576" s="9"/>
      <c r="H576" s="86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59">
        <f t="shared" si="78"/>
        <v>0</v>
      </c>
      <c r="U576" s="161">
        <f t="shared" si="72"/>
      </c>
      <c r="V576" s="162"/>
      <c r="W576" s="255"/>
      <c r="X576" s="32"/>
      <c r="Y576" s="32"/>
      <c r="Z576" s="32"/>
      <c r="AB576" s="32"/>
      <c r="AC576" s="32">
        <f t="shared" si="80"/>
        <v>0</v>
      </c>
      <c r="AD576" s="33"/>
      <c r="AE576" s="33">
        <f t="shared" si="81"/>
        <v>0</v>
      </c>
      <c r="AF576" s="336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>
        <f t="shared" si="79"/>
        <v>0</v>
      </c>
    </row>
    <row r="577" spans="3:49" ht="12.75" hidden="1">
      <c r="C577" s="112"/>
      <c r="D577" s="5"/>
      <c r="E577" s="282"/>
      <c r="F577" s="284"/>
      <c r="G577" s="9"/>
      <c r="H577" s="86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59">
        <f t="shared" si="78"/>
        <v>0</v>
      </c>
      <c r="U577" s="161">
        <f t="shared" si="72"/>
      </c>
      <c r="V577" s="162"/>
      <c r="W577" s="255"/>
      <c r="X577" s="32"/>
      <c r="Y577" s="32"/>
      <c r="Z577" s="32"/>
      <c r="AB577" s="32"/>
      <c r="AC577" s="32">
        <f t="shared" si="80"/>
        <v>0</v>
      </c>
      <c r="AD577" s="33"/>
      <c r="AE577" s="33">
        <f t="shared" si="81"/>
        <v>0</v>
      </c>
      <c r="AF577" s="336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>
        <f t="shared" si="79"/>
        <v>0</v>
      </c>
    </row>
    <row r="578" spans="3:49" ht="12.75" hidden="1">
      <c r="C578" s="112"/>
      <c r="D578" s="5"/>
      <c r="E578" s="282"/>
      <c r="F578" s="284"/>
      <c r="G578" s="9"/>
      <c r="H578" s="86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59">
        <f t="shared" si="78"/>
        <v>0</v>
      </c>
      <c r="U578" s="161">
        <f t="shared" si="72"/>
      </c>
      <c r="V578" s="162"/>
      <c r="W578" s="255"/>
      <c r="X578" s="32"/>
      <c r="Y578" s="32"/>
      <c r="Z578" s="32"/>
      <c r="AB578" s="32"/>
      <c r="AC578" s="32">
        <f t="shared" si="80"/>
        <v>0</v>
      </c>
      <c r="AD578" s="33"/>
      <c r="AE578" s="33">
        <f t="shared" si="81"/>
        <v>0</v>
      </c>
      <c r="AF578" s="336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>
        <f t="shared" si="79"/>
        <v>0</v>
      </c>
    </row>
    <row r="579" spans="3:49" ht="12.75" hidden="1">
      <c r="C579" s="47"/>
      <c r="D579" s="5"/>
      <c r="E579" s="282"/>
      <c r="F579" s="284"/>
      <c r="G579" s="9"/>
      <c r="H579" s="86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59">
        <f t="shared" si="78"/>
        <v>0</v>
      </c>
      <c r="U579" s="161">
        <f t="shared" si="72"/>
      </c>
      <c r="V579" s="162"/>
      <c r="W579" s="255"/>
      <c r="X579" s="32"/>
      <c r="Y579" s="32"/>
      <c r="Z579" s="32"/>
      <c r="AB579" s="32"/>
      <c r="AC579" s="32">
        <f t="shared" si="80"/>
        <v>0</v>
      </c>
      <c r="AD579" s="33"/>
      <c r="AE579" s="33">
        <f t="shared" si="81"/>
        <v>0</v>
      </c>
      <c r="AF579" s="336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>
        <f t="shared" si="79"/>
        <v>0</v>
      </c>
    </row>
    <row r="580" spans="3:49" ht="12.75" hidden="1">
      <c r="C580" s="112"/>
      <c r="D580" s="5"/>
      <c r="E580" s="282"/>
      <c r="F580" s="284"/>
      <c r="G580" s="9"/>
      <c r="H580" s="86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59">
        <f t="shared" si="78"/>
        <v>0</v>
      </c>
      <c r="U580" s="161">
        <f t="shared" si="72"/>
      </c>
      <c r="V580" s="162"/>
      <c r="W580" s="255"/>
      <c r="X580" s="32"/>
      <c r="Y580" s="32"/>
      <c r="Z580" s="32"/>
      <c r="AB580" s="32"/>
      <c r="AC580" s="32">
        <f t="shared" si="80"/>
        <v>0</v>
      </c>
      <c r="AD580" s="33"/>
      <c r="AE580" s="33">
        <f t="shared" si="81"/>
        <v>0</v>
      </c>
      <c r="AF580" s="336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>
        <f t="shared" si="79"/>
        <v>0</v>
      </c>
    </row>
    <row r="581" spans="3:49" ht="12.75" hidden="1">
      <c r="C581" s="47"/>
      <c r="D581" s="5"/>
      <c r="E581" s="294"/>
      <c r="F581" s="295"/>
      <c r="G581" s="9"/>
      <c r="H581" s="86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59">
        <f t="shared" si="78"/>
        <v>0</v>
      </c>
      <c r="U581" s="161">
        <f t="shared" si="72"/>
      </c>
      <c r="V581" s="162"/>
      <c r="W581" s="255"/>
      <c r="X581" s="32"/>
      <c r="Y581" s="32"/>
      <c r="Z581" s="32"/>
      <c r="AB581" s="32"/>
      <c r="AC581" s="32">
        <f t="shared" si="80"/>
        <v>0</v>
      </c>
      <c r="AD581" s="33"/>
      <c r="AE581" s="33">
        <f t="shared" si="81"/>
        <v>0</v>
      </c>
      <c r="AF581" s="336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>
        <f t="shared" si="79"/>
        <v>0</v>
      </c>
    </row>
    <row r="582" spans="3:49" ht="12.75" hidden="1">
      <c r="C582" s="47"/>
      <c r="D582" s="5"/>
      <c r="E582" s="282"/>
      <c r="F582" s="284"/>
      <c r="G582" s="9"/>
      <c r="H582" s="86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59">
        <f t="shared" si="78"/>
        <v>0</v>
      </c>
      <c r="U582" s="161">
        <f t="shared" si="72"/>
      </c>
      <c r="V582" s="162"/>
      <c r="W582" s="255"/>
      <c r="X582" s="32"/>
      <c r="Y582" s="32"/>
      <c r="Z582" s="32"/>
      <c r="AB582" s="32"/>
      <c r="AC582" s="32">
        <f t="shared" si="80"/>
        <v>0</v>
      </c>
      <c r="AD582" s="33"/>
      <c r="AE582" s="33">
        <f t="shared" si="81"/>
        <v>0</v>
      </c>
      <c r="AF582" s="336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>
        <f t="shared" si="79"/>
        <v>0</v>
      </c>
    </row>
    <row r="583" spans="3:49" ht="12.75" hidden="1">
      <c r="C583" s="47"/>
      <c r="D583" s="5"/>
      <c r="E583" s="294"/>
      <c r="F583" s="295"/>
      <c r="G583" s="9"/>
      <c r="H583" s="86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59">
        <f t="shared" si="78"/>
        <v>0</v>
      </c>
      <c r="U583" s="161">
        <f t="shared" si="72"/>
      </c>
      <c r="V583" s="162"/>
      <c r="W583" s="255"/>
      <c r="X583" s="32"/>
      <c r="Y583" s="32"/>
      <c r="Z583" s="32"/>
      <c r="AB583" s="32"/>
      <c r="AC583" s="32">
        <f t="shared" si="80"/>
        <v>0</v>
      </c>
      <c r="AD583" s="33"/>
      <c r="AE583" s="33">
        <f t="shared" si="81"/>
        <v>0</v>
      </c>
      <c r="AF583" s="336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>
        <f t="shared" si="79"/>
        <v>0</v>
      </c>
    </row>
    <row r="584" spans="2:49" s="11" customFormat="1" ht="12.75" hidden="1">
      <c r="B584" s="29"/>
      <c r="C584" s="47"/>
      <c r="D584" s="5"/>
      <c r="E584" s="294"/>
      <c r="F584" s="295"/>
      <c r="G584" s="9"/>
      <c r="H584" s="86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59">
        <f t="shared" si="78"/>
        <v>0</v>
      </c>
      <c r="U584" s="161">
        <f t="shared" si="72"/>
      </c>
      <c r="V584" s="162"/>
      <c r="W584" s="255"/>
      <c r="X584" s="18"/>
      <c r="Y584" s="18"/>
      <c r="Z584" s="18"/>
      <c r="AA584" s="6"/>
      <c r="AB584" s="32"/>
      <c r="AC584" s="32">
        <f t="shared" si="80"/>
        <v>0</v>
      </c>
      <c r="AD584" s="32"/>
      <c r="AE584" s="33">
        <f t="shared" si="81"/>
        <v>0</v>
      </c>
      <c r="AF584" s="336"/>
      <c r="AG584" s="19"/>
      <c r="AH584" s="19"/>
      <c r="AI584" s="19"/>
      <c r="AJ584" s="19"/>
      <c r="AK584" s="19"/>
      <c r="AL584" s="19"/>
      <c r="AM584" s="19"/>
      <c r="AN584" s="19"/>
      <c r="AO584" s="19"/>
      <c r="AP584" s="33"/>
      <c r="AQ584" s="33"/>
      <c r="AR584" s="19"/>
      <c r="AS584" s="19"/>
      <c r="AT584" s="19"/>
      <c r="AU584" s="19"/>
      <c r="AV584" s="19"/>
      <c r="AW584" s="33">
        <f t="shared" si="79"/>
        <v>0</v>
      </c>
    </row>
    <row r="585" spans="2:50" s="11" customFormat="1" ht="12.75" hidden="1">
      <c r="B585" s="29"/>
      <c r="C585" s="47"/>
      <c r="D585" s="5"/>
      <c r="E585" s="294"/>
      <c r="F585" s="295"/>
      <c r="G585" s="9"/>
      <c r="H585" s="86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59">
        <f t="shared" si="78"/>
        <v>0</v>
      </c>
      <c r="U585" s="161">
        <f t="shared" si="72"/>
      </c>
      <c r="V585" s="162"/>
      <c r="W585" s="255"/>
      <c r="X585" s="18"/>
      <c r="Y585" s="18"/>
      <c r="Z585" s="18"/>
      <c r="AA585" s="6"/>
      <c r="AB585" s="32"/>
      <c r="AC585" s="32">
        <f t="shared" si="80"/>
        <v>0</v>
      </c>
      <c r="AD585" s="32"/>
      <c r="AE585" s="33">
        <f t="shared" si="81"/>
        <v>0</v>
      </c>
      <c r="AF585" s="336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33">
        <f t="shared" si="79"/>
        <v>0</v>
      </c>
      <c r="AX585" s="29"/>
    </row>
    <row r="586" spans="3:49" ht="12.75" hidden="1">
      <c r="C586" s="47"/>
      <c r="D586" s="5"/>
      <c r="E586" s="294"/>
      <c r="F586" s="295"/>
      <c r="G586" s="9"/>
      <c r="H586" s="86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59">
        <f t="shared" si="78"/>
        <v>0</v>
      </c>
      <c r="U586" s="161">
        <f t="shared" si="72"/>
      </c>
      <c r="V586" s="162"/>
      <c r="W586" s="255"/>
      <c r="X586" s="32"/>
      <c r="Y586" s="32"/>
      <c r="Z586" s="32"/>
      <c r="AB586" s="32"/>
      <c r="AC586" s="32">
        <f t="shared" si="80"/>
        <v>0</v>
      </c>
      <c r="AD586" s="33"/>
      <c r="AE586" s="33">
        <f t="shared" si="81"/>
        <v>0</v>
      </c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5"/>
      <c r="AS586" s="33"/>
      <c r="AT586" s="33"/>
      <c r="AU586" s="33"/>
      <c r="AV586" s="33"/>
      <c r="AW586" s="33">
        <f t="shared" si="79"/>
        <v>0</v>
      </c>
    </row>
    <row r="587" spans="3:50" ht="12.75">
      <c r="C587" s="134" t="s">
        <v>141</v>
      </c>
      <c r="D587" s="200">
        <v>0.017</v>
      </c>
      <c r="E587" s="294"/>
      <c r="F587" s="295"/>
      <c r="G587" s="9"/>
      <c r="H587" s="86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59">
        <f t="shared" si="78"/>
        <v>0.0028333333333333335</v>
      </c>
      <c r="U587" s="161"/>
      <c r="V587" s="162"/>
      <c r="W587" s="255"/>
      <c r="X587" s="32"/>
      <c r="Y587" s="32"/>
      <c r="Z587" s="32"/>
      <c r="AA587" s="32"/>
      <c r="AB587" s="32"/>
      <c r="AC587" s="32">
        <f t="shared" si="80"/>
        <v>0</v>
      </c>
      <c r="AD587" s="33">
        <v>0.017</v>
      </c>
      <c r="AE587" s="33">
        <f t="shared" si="81"/>
        <v>0.017</v>
      </c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5"/>
      <c r="AS587" s="33"/>
      <c r="AT587" s="33"/>
      <c r="AU587" s="33"/>
      <c r="AV587" s="33"/>
      <c r="AW587" s="33">
        <f t="shared" si="79"/>
        <v>0</v>
      </c>
      <c r="AX587" s="29" t="s">
        <v>317</v>
      </c>
    </row>
    <row r="588" spans="3:50" ht="12.75">
      <c r="C588" s="134" t="s">
        <v>142</v>
      </c>
      <c r="D588" s="200">
        <v>0.03</v>
      </c>
      <c r="E588" s="294"/>
      <c r="F588" s="295"/>
      <c r="G588" s="9"/>
      <c r="H588" s="86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59">
        <f t="shared" si="78"/>
        <v>0.005</v>
      </c>
      <c r="U588" s="161"/>
      <c r="V588" s="162"/>
      <c r="W588" s="255"/>
      <c r="X588" s="32"/>
      <c r="Y588" s="32"/>
      <c r="Z588" s="32"/>
      <c r="AA588" s="32"/>
      <c r="AB588" s="32"/>
      <c r="AC588" s="32">
        <f t="shared" si="80"/>
        <v>0</v>
      </c>
      <c r="AD588" s="33">
        <v>0.03</v>
      </c>
      <c r="AE588" s="33">
        <f t="shared" si="81"/>
        <v>0.03</v>
      </c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5"/>
      <c r="AS588" s="33"/>
      <c r="AT588" s="33"/>
      <c r="AU588" s="33"/>
      <c r="AV588" s="33"/>
      <c r="AW588" s="33">
        <f t="shared" si="79"/>
        <v>0</v>
      </c>
      <c r="AX588" s="29" t="s">
        <v>318</v>
      </c>
    </row>
    <row r="589" spans="3:49" ht="12.75">
      <c r="C589" s="134" t="s">
        <v>187</v>
      </c>
      <c r="D589" s="200">
        <v>0.011</v>
      </c>
      <c r="E589" s="294"/>
      <c r="F589" s="295"/>
      <c r="G589" s="9">
        <v>0.079</v>
      </c>
      <c r="H589" s="86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59">
        <f t="shared" si="78"/>
        <v>0.0018333333333333333</v>
      </c>
      <c r="U589" s="161"/>
      <c r="V589" s="162"/>
      <c r="W589" s="255"/>
      <c r="X589" s="32"/>
      <c r="Y589" s="32"/>
      <c r="Z589" s="32"/>
      <c r="AA589" s="32"/>
      <c r="AB589" s="32"/>
      <c r="AC589" s="32">
        <f t="shared" si="80"/>
        <v>0.011</v>
      </c>
      <c r="AD589" s="33"/>
      <c r="AE589" s="33">
        <f t="shared" si="81"/>
        <v>0.011</v>
      </c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5">
        <v>0.011</v>
      </c>
      <c r="AS589" s="33"/>
      <c r="AT589" s="33"/>
      <c r="AU589" s="33"/>
      <c r="AV589" s="33"/>
      <c r="AW589" s="33">
        <f t="shared" si="79"/>
        <v>0.011</v>
      </c>
    </row>
    <row r="590" spans="3:49" ht="12.75">
      <c r="C590" s="196" t="s">
        <v>188</v>
      </c>
      <c r="D590" s="83">
        <v>0.181</v>
      </c>
      <c r="E590" s="294"/>
      <c r="F590" s="295"/>
      <c r="G590" s="9"/>
      <c r="H590" s="86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59">
        <f t="shared" si="78"/>
        <v>0.030166666666666665</v>
      </c>
      <c r="U590" s="161"/>
      <c r="V590" s="162"/>
      <c r="W590" s="255"/>
      <c r="X590" s="32"/>
      <c r="Y590" s="32"/>
      <c r="Z590" s="32"/>
      <c r="AA590" s="32"/>
      <c r="AB590" s="32"/>
      <c r="AC590" s="32">
        <f t="shared" si="80"/>
        <v>0.181</v>
      </c>
      <c r="AD590" s="33"/>
      <c r="AE590" s="33">
        <f t="shared" si="81"/>
        <v>0.181</v>
      </c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5">
        <v>0.181</v>
      </c>
      <c r="AS590" s="33"/>
      <c r="AT590" s="33"/>
      <c r="AU590" s="33"/>
      <c r="AV590" s="33"/>
      <c r="AW590" s="33">
        <f t="shared" si="79"/>
        <v>0.181</v>
      </c>
    </row>
    <row r="591" spans="3:49" ht="12.75">
      <c r="C591" s="196" t="s">
        <v>189</v>
      </c>
      <c r="D591" s="83">
        <f>0.11+0.063</f>
        <v>0.173</v>
      </c>
      <c r="E591" s="294"/>
      <c r="F591" s="295"/>
      <c r="G591" s="9">
        <v>0.055</v>
      </c>
      <c r="H591" s="86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59">
        <f t="shared" si="78"/>
        <v>0.028833333333333332</v>
      </c>
      <c r="U591" s="161"/>
      <c r="V591" s="162"/>
      <c r="W591" s="255"/>
      <c r="X591" s="32"/>
      <c r="Y591" s="32"/>
      <c r="Z591" s="32"/>
      <c r="AA591" s="32"/>
      <c r="AB591" s="32"/>
      <c r="AC591" s="32">
        <f t="shared" si="80"/>
        <v>0.173</v>
      </c>
      <c r="AD591" s="33"/>
      <c r="AE591" s="33">
        <f t="shared" si="81"/>
        <v>0.173</v>
      </c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5">
        <f>0.11+0.063</f>
        <v>0.173</v>
      </c>
      <c r="AS591" s="33"/>
      <c r="AT591" s="33"/>
      <c r="AU591" s="33"/>
      <c r="AV591" s="33"/>
      <c r="AW591" s="33">
        <f t="shared" si="79"/>
        <v>0.173</v>
      </c>
    </row>
    <row r="592" spans="3:50" ht="12.75">
      <c r="C592" s="196" t="s">
        <v>320</v>
      </c>
      <c r="D592" s="83">
        <v>0.02</v>
      </c>
      <c r="E592" s="294"/>
      <c r="F592" s="295"/>
      <c r="G592" s="9"/>
      <c r="H592" s="86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59">
        <f t="shared" si="78"/>
        <v>0.0033333333333333335</v>
      </c>
      <c r="U592" s="161"/>
      <c r="V592" s="162"/>
      <c r="W592" s="255"/>
      <c r="X592" s="32"/>
      <c r="Y592" s="32"/>
      <c r="Z592" s="32"/>
      <c r="AA592" s="32"/>
      <c r="AB592" s="32"/>
      <c r="AC592" s="32">
        <f>SUM(AG592:AV592)</f>
        <v>0.014</v>
      </c>
      <c r="AD592" s="33">
        <v>0.006</v>
      </c>
      <c r="AE592" s="33">
        <f>SUM(X592:AD592)</f>
        <v>0.02</v>
      </c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5"/>
      <c r="AS592" s="33"/>
      <c r="AT592" s="33"/>
      <c r="AU592" s="33"/>
      <c r="AV592" s="33">
        <v>0.014</v>
      </c>
      <c r="AW592" s="33">
        <f t="shared" si="79"/>
        <v>0.014</v>
      </c>
      <c r="AX592" s="29" t="s">
        <v>321</v>
      </c>
    </row>
    <row r="593" spans="3:49" ht="12.75">
      <c r="C593" s="196" t="s">
        <v>190</v>
      </c>
      <c r="D593" s="83">
        <v>0.152</v>
      </c>
      <c r="E593" s="294"/>
      <c r="F593" s="295"/>
      <c r="G593" s="9"/>
      <c r="H593" s="86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59">
        <f t="shared" si="78"/>
        <v>0.025333333333333333</v>
      </c>
      <c r="U593" s="161"/>
      <c r="V593" s="162"/>
      <c r="W593" s="255"/>
      <c r="X593" s="32"/>
      <c r="Y593" s="32"/>
      <c r="Z593" s="32"/>
      <c r="AA593" s="32"/>
      <c r="AB593" s="32"/>
      <c r="AC593" s="32">
        <f t="shared" si="80"/>
        <v>0.152</v>
      </c>
      <c r="AD593" s="33"/>
      <c r="AE593" s="33">
        <f t="shared" si="81"/>
        <v>0.152</v>
      </c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5">
        <v>0.152</v>
      </c>
      <c r="AS593" s="33"/>
      <c r="AT593" s="33"/>
      <c r="AU593" s="33"/>
      <c r="AV593" s="33"/>
      <c r="AW593" s="33">
        <f t="shared" si="79"/>
        <v>0.152</v>
      </c>
    </row>
    <row r="594" spans="3:49" ht="12.75">
      <c r="C594" s="196" t="s">
        <v>191</v>
      </c>
      <c r="D594" s="83">
        <v>0.015</v>
      </c>
      <c r="E594" s="294"/>
      <c r="F594" s="295"/>
      <c r="G594" s="9"/>
      <c r="H594" s="86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59">
        <f t="shared" si="78"/>
        <v>0.0025</v>
      </c>
      <c r="U594" s="161"/>
      <c r="V594" s="162"/>
      <c r="W594" s="255"/>
      <c r="X594" s="32"/>
      <c r="Y594" s="32"/>
      <c r="Z594" s="32"/>
      <c r="AA594" s="32"/>
      <c r="AB594" s="32"/>
      <c r="AC594" s="32">
        <f t="shared" si="80"/>
        <v>0.015</v>
      </c>
      <c r="AD594" s="33"/>
      <c r="AE594" s="33">
        <f t="shared" si="81"/>
        <v>0.015</v>
      </c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5">
        <v>0.015</v>
      </c>
      <c r="AS594" s="33"/>
      <c r="AT594" s="33"/>
      <c r="AU594" s="33"/>
      <c r="AV594" s="33"/>
      <c r="AW594" s="33">
        <f t="shared" si="79"/>
        <v>0.015</v>
      </c>
    </row>
    <row r="595" spans="3:49" ht="12.75">
      <c r="C595" s="196" t="s">
        <v>197</v>
      </c>
      <c r="D595" s="83">
        <v>0.075</v>
      </c>
      <c r="E595" s="294"/>
      <c r="F595" s="295"/>
      <c r="G595" s="9"/>
      <c r="H595" s="86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59">
        <f t="shared" si="78"/>
        <v>0.012499999999999999</v>
      </c>
      <c r="U595" s="161"/>
      <c r="V595" s="162"/>
      <c r="W595" s="255"/>
      <c r="X595" s="32"/>
      <c r="Y595" s="32"/>
      <c r="Z595" s="32"/>
      <c r="AA595" s="32"/>
      <c r="AB595" s="32"/>
      <c r="AC595" s="32">
        <f t="shared" si="80"/>
        <v>0.075</v>
      </c>
      <c r="AD595" s="33"/>
      <c r="AE595" s="33">
        <f t="shared" si="81"/>
        <v>0.075</v>
      </c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5">
        <v>0.075</v>
      </c>
      <c r="AS595" s="33"/>
      <c r="AT595" s="33"/>
      <c r="AU595" s="33"/>
      <c r="AV595" s="33"/>
      <c r="AW595" s="33">
        <f t="shared" si="79"/>
        <v>0.075</v>
      </c>
    </row>
    <row r="596" spans="3:49" ht="12.75">
      <c r="C596" s="79" t="s">
        <v>192</v>
      </c>
      <c r="D596" s="83">
        <v>0.019</v>
      </c>
      <c r="E596" s="294"/>
      <c r="F596" s="295"/>
      <c r="G596" s="9"/>
      <c r="H596" s="86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59">
        <f t="shared" si="78"/>
        <v>0.0031666666666666666</v>
      </c>
      <c r="U596" s="161"/>
      <c r="V596" s="162"/>
      <c r="W596" s="255"/>
      <c r="X596" s="32"/>
      <c r="Y596" s="32"/>
      <c r="Z596" s="32"/>
      <c r="AA596" s="32"/>
      <c r="AB596" s="32"/>
      <c r="AC596" s="32">
        <f t="shared" si="80"/>
        <v>0.019</v>
      </c>
      <c r="AD596" s="33"/>
      <c r="AE596" s="33">
        <f t="shared" si="81"/>
        <v>0.019</v>
      </c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5">
        <v>0.019</v>
      </c>
      <c r="AS596" s="33"/>
      <c r="AT596" s="33"/>
      <c r="AU596" s="33"/>
      <c r="AV596" s="33"/>
      <c r="AW596" s="33">
        <f t="shared" si="79"/>
        <v>0.019</v>
      </c>
    </row>
    <row r="597" spans="3:49" ht="12.75">
      <c r="C597" s="79" t="s">
        <v>143</v>
      </c>
      <c r="D597" s="83">
        <f>0.022+0.015</f>
        <v>0.037</v>
      </c>
      <c r="E597" s="294"/>
      <c r="F597" s="295"/>
      <c r="G597" s="9">
        <v>0.041</v>
      </c>
      <c r="H597" s="86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59">
        <f t="shared" si="78"/>
        <v>0.006166666666666667</v>
      </c>
      <c r="U597" s="161"/>
      <c r="V597" s="162"/>
      <c r="W597" s="255"/>
      <c r="X597" s="32"/>
      <c r="Y597" s="32"/>
      <c r="Z597" s="32"/>
      <c r="AA597" s="32"/>
      <c r="AB597" s="32">
        <v>0.015</v>
      </c>
      <c r="AC597" s="32">
        <f t="shared" si="80"/>
        <v>0.022</v>
      </c>
      <c r="AD597" s="33"/>
      <c r="AE597" s="33">
        <f t="shared" si="81"/>
        <v>0.037</v>
      </c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5">
        <v>0.022</v>
      </c>
      <c r="AS597" s="33"/>
      <c r="AT597" s="33"/>
      <c r="AU597" s="33"/>
      <c r="AV597" s="33"/>
      <c r="AW597" s="33">
        <f t="shared" si="79"/>
        <v>0.022</v>
      </c>
    </row>
    <row r="598" spans="3:49" ht="12.75">
      <c r="C598" s="195" t="s">
        <v>147</v>
      </c>
      <c r="D598" s="83">
        <f>0.05-0.006</f>
        <v>0.044000000000000004</v>
      </c>
      <c r="E598" s="294"/>
      <c r="F598" s="295"/>
      <c r="G598" s="9">
        <v>0.011</v>
      </c>
      <c r="H598" s="86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59">
        <f t="shared" si="78"/>
        <v>0.007333333333333334</v>
      </c>
      <c r="U598" s="161"/>
      <c r="V598" s="162"/>
      <c r="W598" s="255"/>
      <c r="X598" s="32"/>
      <c r="Y598" s="32"/>
      <c r="Z598" s="32"/>
      <c r="AA598" s="32"/>
      <c r="AB598" s="32">
        <f>0.05-0.006</f>
        <v>0.044000000000000004</v>
      </c>
      <c r="AC598" s="32">
        <f t="shared" si="80"/>
        <v>0</v>
      </c>
      <c r="AD598" s="33"/>
      <c r="AE598" s="33">
        <f t="shared" si="81"/>
        <v>0.044000000000000004</v>
      </c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5"/>
      <c r="AS598" s="33"/>
      <c r="AT598" s="33"/>
      <c r="AU598" s="33"/>
      <c r="AV598" s="33"/>
      <c r="AW598" s="33">
        <f t="shared" si="79"/>
        <v>0</v>
      </c>
    </row>
    <row r="599" spans="3:49" ht="12.75">
      <c r="C599" s="195" t="s">
        <v>332</v>
      </c>
      <c r="D599" s="83">
        <v>0.01</v>
      </c>
      <c r="E599" s="294"/>
      <c r="F599" s="295"/>
      <c r="G599" s="9"/>
      <c r="H599" s="86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59">
        <f t="shared" si="78"/>
        <v>0.0016666666666666668</v>
      </c>
      <c r="U599" s="161"/>
      <c r="V599" s="162"/>
      <c r="W599" s="255"/>
      <c r="X599" s="32"/>
      <c r="Y599" s="32"/>
      <c r="Z599" s="32"/>
      <c r="AA599" s="32"/>
      <c r="AB599" s="32">
        <v>0.01</v>
      </c>
      <c r="AC599" s="32"/>
      <c r="AD599" s="33"/>
      <c r="AE599" s="33">
        <f t="shared" si="81"/>
        <v>0.01</v>
      </c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5"/>
      <c r="AS599" s="33"/>
      <c r="AT599" s="33"/>
      <c r="AU599" s="33"/>
      <c r="AV599" s="33"/>
      <c r="AW599" s="33"/>
    </row>
    <row r="600" spans="3:50" ht="12.75">
      <c r="C600" s="195" t="s">
        <v>391</v>
      </c>
      <c r="D600" s="83">
        <f>0.007-0.002</f>
        <v>0.005</v>
      </c>
      <c r="E600" s="294"/>
      <c r="F600" s="295"/>
      <c r="G600" s="9"/>
      <c r="H600" s="86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59">
        <f t="shared" si="78"/>
        <v>0.0008333333333333334</v>
      </c>
      <c r="U600" s="161"/>
      <c r="V600" s="162"/>
      <c r="W600" s="255"/>
      <c r="X600" s="32"/>
      <c r="Y600" s="32"/>
      <c r="Z600" s="32"/>
      <c r="AA600" s="32"/>
      <c r="AB600" s="32"/>
      <c r="AC600" s="32"/>
      <c r="AD600" s="33">
        <f>0.007-0.002</f>
        <v>0.005</v>
      </c>
      <c r="AE600" s="33">
        <f t="shared" si="81"/>
        <v>0.005</v>
      </c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5"/>
      <c r="AS600" s="33"/>
      <c r="AT600" s="33"/>
      <c r="AU600" s="33"/>
      <c r="AV600" s="33"/>
      <c r="AW600" s="33"/>
      <c r="AX600" s="29" t="s">
        <v>368</v>
      </c>
    </row>
    <row r="601" spans="3:49" ht="12.75">
      <c r="C601" s="195" t="s">
        <v>392</v>
      </c>
      <c r="D601" s="83">
        <v>0.017</v>
      </c>
      <c r="E601" s="294"/>
      <c r="F601" s="295"/>
      <c r="G601" s="9"/>
      <c r="H601" s="86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59">
        <f t="shared" si="78"/>
        <v>0.0028333333333333335</v>
      </c>
      <c r="U601" s="161"/>
      <c r="V601" s="162"/>
      <c r="W601" s="255"/>
      <c r="X601" s="32"/>
      <c r="Y601" s="32"/>
      <c r="Z601" s="32"/>
      <c r="AA601" s="32">
        <v>0.017</v>
      </c>
      <c r="AB601" s="32"/>
      <c r="AC601" s="32"/>
      <c r="AD601" s="33"/>
      <c r="AE601" s="33">
        <f t="shared" si="81"/>
        <v>0.017</v>
      </c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5"/>
      <c r="AS601" s="33"/>
      <c r="AT601" s="33"/>
      <c r="AU601" s="33"/>
      <c r="AV601" s="33"/>
      <c r="AW601" s="33"/>
    </row>
    <row r="602" spans="3:49" ht="12.75">
      <c r="C602" s="195" t="s">
        <v>393</v>
      </c>
      <c r="D602" s="83">
        <v>0.014</v>
      </c>
      <c r="E602" s="294"/>
      <c r="F602" s="295"/>
      <c r="G602" s="9"/>
      <c r="H602" s="86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59">
        <f t="shared" si="78"/>
        <v>0.0023333333333333335</v>
      </c>
      <c r="U602" s="161"/>
      <c r="V602" s="162"/>
      <c r="W602" s="255"/>
      <c r="X602" s="32"/>
      <c r="Y602" s="32"/>
      <c r="Z602" s="32"/>
      <c r="AA602" s="32"/>
      <c r="AB602" s="32">
        <v>0.014</v>
      </c>
      <c r="AC602" s="32"/>
      <c r="AD602" s="33"/>
      <c r="AE602" s="33">
        <f t="shared" si="81"/>
        <v>0.014</v>
      </c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5"/>
      <c r="AS602" s="33"/>
      <c r="AT602" s="33"/>
      <c r="AU602" s="33"/>
      <c r="AV602" s="33"/>
      <c r="AW602" s="33"/>
    </row>
    <row r="603" spans="3:49" ht="12.75">
      <c r="C603" s="195" t="s">
        <v>413</v>
      </c>
      <c r="D603" s="83"/>
      <c r="E603" s="294"/>
      <c r="F603" s="295"/>
      <c r="G603" s="9">
        <v>0.001</v>
      </c>
      <c r="H603" s="86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59">
        <f t="shared" si="78"/>
        <v>0</v>
      </c>
      <c r="U603" s="161"/>
      <c r="V603" s="162"/>
      <c r="W603" s="255"/>
      <c r="X603" s="32"/>
      <c r="Y603" s="32"/>
      <c r="Z603" s="32"/>
      <c r="AA603" s="32"/>
      <c r="AB603" s="32"/>
      <c r="AC603" s="32"/>
      <c r="AD603" s="33"/>
      <c r="AE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5"/>
      <c r="AS603" s="33"/>
      <c r="AT603" s="33"/>
      <c r="AU603" s="33"/>
      <c r="AV603" s="33"/>
      <c r="AW603" s="33"/>
    </row>
    <row r="604" spans="3:49" ht="12.75">
      <c r="C604" s="195" t="s">
        <v>394</v>
      </c>
      <c r="D604" s="83">
        <v>0.004</v>
      </c>
      <c r="E604" s="294"/>
      <c r="F604" s="295"/>
      <c r="G604" s="9"/>
      <c r="H604" s="86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59">
        <f t="shared" si="78"/>
        <v>0.0006666666666666666</v>
      </c>
      <c r="U604" s="161"/>
      <c r="V604" s="162"/>
      <c r="W604" s="255"/>
      <c r="X604" s="32"/>
      <c r="Y604" s="32"/>
      <c r="Z604" s="32"/>
      <c r="AA604" s="32"/>
      <c r="AB604" s="32">
        <v>0.004</v>
      </c>
      <c r="AC604" s="32"/>
      <c r="AD604" s="33"/>
      <c r="AE604" s="33">
        <f t="shared" si="81"/>
        <v>0.004</v>
      </c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5"/>
      <c r="AS604" s="33"/>
      <c r="AT604" s="33"/>
      <c r="AU604" s="33"/>
      <c r="AV604" s="33"/>
      <c r="AW604" s="33"/>
    </row>
    <row r="605" spans="3:49" ht="12.75">
      <c r="C605" s="195" t="s">
        <v>370</v>
      </c>
      <c r="D605" s="83">
        <v>0.003</v>
      </c>
      <c r="E605" s="294"/>
      <c r="F605" s="295"/>
      <c r="G605" s="9"/>
      <c r="H605" s="86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59">
        <f t="shared" si="78"/>
        <v>0.0005</v>
      </c>
      <c r="U605" s="161"/>
      <c r="V605" s="162"/>
      <c r="W605" s="255"/>
      <c r="X605" s="32"/>
      <c r="Y605" s="32"/>
      <c r="Z605" s="32"/>
      <c r="AA605" s="32"/>
      <c r="AB605" s="32">
        <v>0.003</v>
      </c>
      <c r="AC605" s="32"/>
      <c r="AD605" s="33"/>
      <c r="AE605" s="33">
        <f t="shared" si="81"/>
        <v>0.003</v>
      </c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5"/>
      <c r="AS605" s="33"/>
      <c r="AT605" s="33"/>
      <c r="AU605" s="33"/>
      <c r="AV605" s="33"/>
      <c r="AW605" s="33"/>
    </row>
    <row r="606" spans="3:49" ht="13.5" thickBot="1">
      <c r="C606" s="5"/>
      <c r="E606" s="294"/>
      <c r="F606" s="295"/>
      <c r="G606" s="9"/>
      <c r="T606" s="205"/>
      <c r="U606" s="161">
        <f aca="true" t="shared" si="82" ref="U606:U672">IF(SUM(H606:S606)-D606=0,"","adjust profile")</f>
      </c>
      <c r="V606" s="162"/>
      <c r="W606" s="255"/>
      <c r="X606" s="32"/>
      <c r="Y606" s="32"/>
      <c r="Z606" s="32"/>
      <c r="AA606" s="32"/>
      <c r="AB606" s="32"/>
      <c r="AC606" s="32">
        <f>SUM(AG606:AV606)</f>
        <v>0</v>
      </c>
      <c r="AD606" s="33"/>
      <c r="AE606" s="33">
        <f>SUM(X606:AD606)</f>
        <v>0</v>
      </c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6"/>
      <c r="AS606" s="33"/>
      <c r="AT606" s="33"/>
      <c r="AU606" s="33"/>
      <c r="AV606" s="33"/>
      <c r="AW606" s="33">
        <f t="shared" si="79"/>
        <v>0</v>
      </c>
    </row>
    <row r="607" spans="3:49" ht="13.5" thickBot="1">
      <c r="C607" s="7" t="s">
        <v>254</v>
      </c>
      <c r="D607" s="21">
        <f>SUM(D569:D606)</f>
        <v>8.047999999999998</v>
      </c>
      <c r="E607" s="292"/>
      <c r="F607" s="293"/>
      <c r="G607" s="21">
        <f>SUM(G569:G606)</f>
        <v>0.21700000000000003</v>
      </c>
      <c r="H607" s="92">
        <f>SUM(H572:H605)</f>
        <v>0</v>
      </c>
      <c r="I607" s="93">
        <f>SUM(I569:I606)</f>
        <v>0</v>
      </c>
      <c r="J607" s="93">
        <f aca="true" t="shared" si="83" ref="J607:S607">SUM(J569:J605)</f>
        <v>0</v>
      </c>
      <c r="K607" s="93">
        <f t="shared" si="83"/>
        <v>0</v>
      </c>
      <c r="L607" s="93">
        <f t="shared" si="83"/>
        <v>0</v>
      </c>
      <c r="M607" s="93">
        <f t="shared" si="83"/>
        <v>0</v>
      </c>
      <c r="N607" s="93">
        <f t="shared" si="83"/>
        <v>0</v>
      </c>
      <c r="O607" s="93">
        <f t="shared" si="83"/>
        <v>0</v>
      </c>
      <c r="P607" s="93">
        <f t="shared" si="83"/>
        <v>0</v>
      </c>
      <c r="Q607" s="93">
        <f t="shared" si="83"/>
        <v>0</v>
      </c>
      <c r="R607" s="93">
        <f t="shared" si="83"/>
        <v>0</v>
      </c>
      <c r="S607" s="93">
        <f t="shared" si="83"/>
        <v>0</v>
      </c>
      <c r="T607" s="204">
        <f>D607/12</f>
        <v>0.6706666666666665</v>
      </c>
      <c r="U607" s="161" t="str">
        <f t="shared" si="82"/>
        <v>adjust profile</v>
      </c>
      <c r="V607" s="162"/>
      <c r="W607" s="255"/>
      <c r="X607" s="26">
        <f aca="true" t="shared" si="84" ref="X607:AD607">SUM(X569:X606)</f>
        <v>0</v>
      </c>
      <c r="Y607" s="26">
        <f t="shared" si="84"/>
        <v>0</v>
      </c>
      <c r="Z607" s="26">
        <f t="shared" si="84"/>
        <v>0.258</v>
      </c>
      <c r="AA607" s="26">
        <f t="shared" si="84"/>
        <v>0.131</v>
      </c>
      <c r="AB607" s="26">
        <f t="shared" si="84"/>
        <v>0.9600000000000001</v>
      </c>
      <c r="AC607" s="26">
        <f t="shared" si="84"/>
        <v>4.8340000000000005</v>
      </c>
      <c r="AD607" s="26">
        <f t="shared" si="84"/>
        <v>1.8649999999999998</v>
      </c>
      <c r="AE607" s="96">
        <f>SUM(X607:AD607)</f>
        <v>8.048</v>
      </c>
      <c r="AF607" s="11"/>
      <c r="AG607" s="26">
        <f aca="true" t="shared" si="85" ref="AG607:AV607">SUM(AG569:AG606)</f>
        <v>0</v>
      </c>
      <c r="AH607" s="26">
        <f t="shared" si="85"/>
        <v>0</v>
      </c>
      <c r="AI607" s="26">
        <f t="shared" si="85"/>
        <v>0</v>
      </c>
      <c r="AJ607" s="26">
        <f t="shared" si="85"/>
        <v>0</v>
      </c>
      <c r="AK607" s="26">
        <f t="shared" si="85"/>
        <v>0</v>
      </c>
      <c r="AL607" s="26">
        <f t="shared" si="85"/>
        <v>0</v>
      </c>
      <c r="AM607" s="26">
        <f t="shared" si="85"/>
        <v>0</v>
      </c>
      <c r="AN607" s="26">
        <f t="shared" si="85"/>
        <v>0</v>
      </c>
      <c r="AO607" s="26">
        <f t="shared" si="85"/>
        <v>0</v>
      </c>
      <c r="AP607" s="26">
        <f t="shared" si="85"/>
        <v>0.29</v>
      </c>
      <c r="AQ607" s="26">
        <f t="shared" si="85"/>
        <v>1.35</v>
      </c>
      <c r="AR607" s="26">
        <f t="shared" si="85"/>
        <v>2.68</v>
      </c>
      <c r="AS607" s="26">
        <f t="shared" si="85"/>
        <v>0</v>
      </c>
      <c r="AT607" s="26">
        <f t="shared" si="85"/>
        <v>0</v>
      </c>
      <c r="AU607" s="26">
        <f t="shared" si="85"/>
        <v>0</v>
      </c>
      <c r="AV607" s="174">
        <f t="shared" si="85"/>
        <v>0.514</v>
      </c>
      <c r="AW607" s="201">
        <f>SUM(AG607:AV607)</f>
        <v>4.8340000000000005</v>
      </c>
    </row>
    <row r="608" spans="3:49" ht="12.75">
      <c r="C608" s="7"/>
      <c r="D608" s="7"/>
      <c r="E608" s="300"/>
      <c r="F608" s="301"/>
      <c r="G608" s="168"/>
      <c r="H608" s="86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204"/>
      <c r="U608" s="161">
        <f t="shared" si="82"/>
      </c>
      <c r="V608" s="162"/>
      <c r="W608" s="255"/>
      <c r="X608" s="32"/>
      <c r="Y608" s="32"/>
      <c r="Z608" s="32"/>
      <c r="AA608" s="32"/>
      <c r="AB608" s="32"/>
      <c r="AC608" s="32"/>
      <c r="AD608" s="33"/>
      <c r="AE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</row>
    <row r="609" spans="3:49" ht="12.75">
      <c r="C609" s="7" t="s">
        <v>347</v>
      </c>
      <c r="D609" s="5"/>
      <c r="E609" s="282"/>
      <c r="F609" s="284"/>
      <c r="G609" s="168"/>
      <c r="H609" s="86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59"/>
      <c r="U609" s="161">
        <f t="shared" si="82"/>
      </c>
      <c r="V609" s="162"/>
      <c r="W609" s="255"/>
      <c r="X609" s="32"/>
      <c r="Y609" s="32"/>
      <c r="Z609" s="32"/>
      <c r="AA609" s="32"/>
      <c r="AB609" s="32"/>
      <c r="AC609" s="32"/>
      <c r="AD609" s="33"/>
      <c r="AE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</row>
    <row r="610" spans="2:49" ht="12.75">
      <c r="B610" s="80" t="s">
        <v>629</v>
      </c>
      <c r="C610" s="47" t="s">
        <v>149</v>
      </c>
      <c r="D610" s="182">
        <f>0.5+0.016</f>
        <v>0.516</v>
      </c>
      <c r="E610" s="282"/>
      <c r="F610" s="284"/>
      <c r="G610" s="9"/>
      <c r="H610" s="86">
        <v>0.041</v>
      </c>
      <c r="I610" s="12">
        <v>0.041</v>
      </c>
      <c r="J610" s="12">
        <v>0.041</v>
      </c>
      <c r="K610" s="12">
        <v>0.041</v>
      </c>
      <c r="L610" s="12">
        <v>0.042</v>
      </c>
      <c r="M610" s="12">
        <v>0.042</v>
      </c>
      <c r="N610" s="12">
        <v>0.042</v>
      </c>
      <c r="O610" s="12">
        <v>0.042</v>
      </c>
      <c r="P610" s="12">
        <v>0.042</v>
      </c>
      <c r="Q610" s="12">
        <v>0.042</v>
      </c>
      <c r="R610" s="12">
        <v>0.042</v>
      </c>
      <c r="S610" s="12">
        <v>0.042</v>
      </c>
      <c r="T610" s="159">
        <f>SUM(H610:I610)</f>
        <v>0.082</v>
      </c>
      <c r="U610" s="161" t="str">
        <f t="shared" si="82"/>
        <v>adjust profile</v>
      </c>
      <c r="V610" s="162"/>
      <c r="W610" s="255"/>
      <c r="X610" s="32"/>
      <c r="Y610" s="32"/>
      <c r="Z610" s="32"/>
      <c r="AA610" s="32"/>
      <c r="AB610" s="32">
        <f>0.5+0.016</f>
        <v>0.516</v>
      </c>
      <c r="AC610" s="32">
        <f aca="true" t="shared" si="86" ref="AC610:AC629">SUM(AG610:AV610)</f>
        <v>0</v>
      </c>
      <c r="AD610" s="33"/>
      <c r="AE610" s="33">
        <f>SUM(X610:AD610)</f>
        <v>0.516</v>
      </c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>
        <f>SUM(AG610:AV610)</f>
        <v>0</v>
      </c>
    </row>
    <row r="611" spans="2:49" ht="12.75">
      <c r="B611" s="80" t="s">
        <v>630</v>
      </c>
      <c r="C611" s="47" t="s">
        <v>256</v>
      </c>
      <c r="D611" s="182">
        <f>1.713+0.3+0.212</f>
        <v>2.225</v>
      </c>
      <c r="E611" s="282"/>
      <c r="F611" s="284"/>
      <c r="G611" s="9"/>
      <c r="H611" s="86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>
        <v>2.225</v>
      </c>
      <c r="T611" s="159">
        <f>SUM(H611:I611)</f>
        <v>0</v>
      </c>
      <c r="U611" s="161">
        <f t="shared" si="82"/>
      </c>
      <c r="V611" s="162"/>
      <c r="W611" s="255"/>
      <c r="X611" s="32"/>
      <c r="Y611" s="32"/>
      <c r="Z611" s="32"/>
      <c r="AA611" s="32"/>
      <c r="AB611" s="32">
        <f>2.013+0.212</f>
        <v>2.225</v>
      </c>
      <c r="AC611" s="32">
        <f>SUM(AG611:AV611)</f>
        <v>0</v>
      </c>
      <c r="AD611" s="33"/>
      <c r="AE611" s="33">
        <f>SUM(X611:AD611)</f>
        <v>2.225</v>
      </c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>
        <f aca="true" t="shared" si="87" ref="AW611:AW629">SUM(AG611:AV611)</f>
        <v>0</v>
      </c>
    </row>
    <row r="612" spans="1:49" ht="12.75">
      <c r="A612" s="80"/>
      <c r="B612" s="80" t="s">
        <v>631</v>
      </c>
      <c r="C612" s="5" t="s">
        <v>312</v>
      </c>
      <c r="D612" s="5">
        <v>0.2</v>
      </c>
      <c r="E612" s="282"/>
      <c r="F612" s="284"/>
      <c r="G612" s="9"/>
      <c r="H612" s="86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59">
        <f aca="true" t="shared" si="88" ref="T612:T628">D612/12*2</f>
        <v>0.03333333333333333</v>
      </c>
      <c r="U612" s="161" t="str">
        <f t="shared" si="82"/>
        <v>adjust profile</v>
      </c>
      <c r="V612" s="162"/>
      <c r="W612" s="255"/>
      <c r="X612" s="32"/>
      <c r="Y612" s="32"/>
      <c r="Z612" s="32">
        <v>0.2</v>
      </c>
      <c r="AA612" s="32"/>
      <c r="AB612" s="32"/>
      <c r="AC612" s="32">
        <f t="shared" si="86"/>
        <v>0</v>
      </c>
      <c r="AD612" s="33">
        <f>0.186-0.186</f>
        <v>0</v>
      </c>
      <c r="AE612" s="33">
        <f aca="true" t="shared" si="89" ref="AE612:AE629">SUM(X612:AD612)</f>
        <v>0.2</v>
      </c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>
        <f t="shared" si="87"/>
        <v>0</v>
      </c>
    </row>
    <row r="613" spans="1:50" ht="12.75">
      <c r="A613" s="80"/>
      <c r="B613" s="29" t="s">
        <v>632</v>
      </c>
      <c r="C613" s="5" t="s">
        <v>313</v>
      </c>
      <c r="D613" s="5">
        <v>0.186</v>
      </c>
      <c r="E613" s="282"/>
      <c r="F613" s="284"/>
      <c r="G613" s="9"/>
      <c r="H613" s="86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59">
        <f t="shared" si="88"/>
        <v>0.031</v>
      </c>
      <c r="U613" s="161" t="str">
        <f t="shared" si="82"/>
        <v>adjust profile</v>
      </c>
      <c r="V613" s="162"/>
      <c r="W613" s="255"/>
      <c r="X613" s="32"/>
      <c r="Y613" s="32"/>
      <c r="Z613" s="32"/>
      <c r="AA613" s="32"/>
      <c r="AB613" s="32"/>
      <c r="AC613" s="32">
        <f t="shared" si="86"/>
        <v>0</v>
      </c>
      <c r="AD613" s="33">
        <v>0.186</v>
      </c>
      <c r="AE613" s="33">
        <f t="shared" si="89"/>
        <v>0.186</v>
      </c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>
        <f t="shared" si="87"/>
        <v>0</v>
      </c>
      <c r="AX613" s="29" t="s">
        <v>297</v>
      </c>
    </row>
    <row r="614" spans="1:49" ht="12.75" hidden="1">
      <c r="A614" s="80"/>
      <c r="C614" s="5"/>
      <c r="D614" s="5"/>
      <c r="E614" s="282"/>
      <c r="F614" s="284"/>
      <c r="G614" s="9"/>
      <c r="H614" s="86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59">
        <f t="shared" si="88"/>
        <v>0</v>
      </c>
      <c r="U614" s="161">
        <f t="shared" si="82"/>
      </c>
      <c r="V614" s="162"/>
      <c r="W614" s="255"/>
      <c r="X614" s="32"/>
      <c r="Y614" s="32"/>
      <c r="Z614" s="32"/>
      <c r="AA614" s="32"/>
      <c r="AB614" s="32"/>
      <c r="AC614" s="32">
        <f t="shared" si="86"/>
        <v>0</v>
      </c>
      <c r="AD614" s="33"/>
      <c r="AE614" s="33">
        <f t="shared" si="89"/>
        <v>0</v>
      </c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>
        <f t="shared" si="87"/>
        <v>0</v>
      </c>
    </row>
    <row r="615" spans="2:49" ht="12.75" hidden="1">
      <c r="B615" s="80"/>
      <c r="C615" s="5"/>
      <c r="D615" s="5"/>
      <c r="E615" s="282"/>
      <c r="F615" s="284"/>
      <c r="G615" s="9"/>
      <c r="H615" s="86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59">
        <f t="shared" si="88"/>
        <v>0</v>
      </c>
      <c r="U615" s="161">
        <f t="shared" si="82"/>
      </c>
      <c r="V615" s="162"/>
      <c r="W615" s="255"/>
      <c r="X615" s="32"/>
      <c r="Y615" s="32"/>
      <c r="Z615" s="32"/>
      <c r="AA615" s="32"/>
      <c r="AB615" s="32"/>
      <c r="AC615" s="32">
        <f t="shared" si="86"/>
        <v>0</v>
      </c>
      <c r="AD615" s="33"/>
      <c r="AE615" s="33">
        <f t="shared" si="89"/>
        <v>0</v>
      </c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>
        <f t="shared" si="87"/>
        <v>0</v>
      </c>
    </row>
    <row r="616" spans="2:49" ht="12.75" hidden="1">
      <c r="B616" s="80"/>
      <c r="C616" s="5"/>
      <c r="D616" s="5"/>
      <c r="E616" s="282"/>
      <c r="F616" s="284"/>
      <c r="G616" s="9"/>
      <c r="H616" s="86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59">
        <f t="shared" si="88"/>
        <v>0</v>
      </c>
      <c r="U616" s="161">
        <f t="shared" si="82"/>
      </c>
      <c r="V616" s="162"/>
      <c r="W616" s="255"/>
      <c r="X616" s="32"/>
      <c r="Y616" s="32"/>
      <c r="Z616" s="32"/>
      <c r="AA616" s="32"/>
      <c r="AB616" s="32"/>
      <c r="AC616" s="32">
        <f t="shared" si="86"/>
        <v>0</v>
      </c>
      <c r="AD616" s="33"/>
      <c r="AE616" s="33">
        <f t="shared" si="89"/>
        <v>0</v>
      </c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>
        <f t="shared" si="87"/>
        <v>0</v>
      </c>
    </row>
    <row r="617" spans="3:49" ht="12.75" hidden="1">
      <c r="C617" s="5"/>
      <c r="D617" s="9"/>
      <c r="E617" s="294"/>
      <c r="F617" s="295"/>
      <c r="G617" s="9"/>
      <c r="H617" s="86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59">
        <f t="shared" si="88"/>
        <v>0</v>
      </c>
      <c r="U617" s="161">
        <f t="shared" si="82"/>
      </c>
      <c r="V617" s="162"/>
      <c r="W617" s="255"/>
      <c r="X617" s="32"/>
      <c r="Y617" s="32"/>
      <c r="Z617" s="32"/>
      <c r="AA617" s="32"/>
      <c r="AB617" s="32"/>
      <c r="AC617" s="32">
        <f t="shared" si="86"/>
        <v>0</v>
      </c>
      <c r="AD617" s="33"/>
      <c r="AE617" s="33">
        <f t="shared" si="89"/>
        <v>0</v>
      </c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>
        <f t="shared" si="87"/>
        <v>0</v>
      </c>
    </row>
    <row r="618" spans="3:49" ht="12.75" hidden="1">
      <c r="C618" s="5"/>
      <c r="D618" s="9"/>
      <c r="E618" s="294"/>
      <c r="F618" s="295"/>
      <c r="G618" s="9"/>
      <c r="H618" s="86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59">
        <f t="shared" si="88"/>
        <v>0</v>
      </c>
      <c r="U618" s="161">
        <f t="shared" si="82"/>
      </c>
      <c r="V618" s="162"/>
      <c r="W618" s="255"/>
      <c r="X618" s="32"/>
      <c r="Y618" s="32"/>
      <c r="Z618" s="32"/>
      <c r="AA618" s="32"/>
      <c r="AB618" s="32"/>
      <c r="AC618" s="32">
        <f t="shared" si="86"/>
        <v>0</v>
      </c>
      <c r="AD618" s="33"/>
      <c r="AE618" s="33">
        <f t="shared" si="89"/>
        <v>0</v>
      </c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>
        <f t="shared" si="87"/>
        <v>0</v>
      </c>
    </row>
    <row r="619" spans="3:49" ht="12.75" hidden="1">
      <c r="C619" s="5"/>
      <c r="D619" s="9"/>
      <c r="E619" s="294"/>
      <c r="F619" s="295"/>
      <c r="G619" s="9"/>
      <c r="H619" s="86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59">
        <f t="shared" si="88"/>
        <v>0</v>
      </c>
      <c r="U619" s="161">
        <f t="shared" si="82"/>
      </c>
      <c r="V619" s="162"/>
      <c r="W619" s="255"/>
      <c r="X619" s="32"/>
      <c r="Y619" s="32"/>
      <c r="Z619" s="32"/>
      <c r="AA619" s="32"/>
      <c r="AB619" s="32"/>
      <c r="AC619" s="32">
        <f t="shared" si="86"/>
        <v>0</v>
      </c>
      <c r="AD619" s="33"/>
      <c r="AE619" s="33">
        <f t="shared" si="89"/>
        <v>0</v>
      </c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>
        <f t="shared" si="87"/>
        <v>0</v>
      </c>
    </row>
    <row r="620" spans="3:49" ht="12.75" hidden="1">
      <c r="C620" s="5"/>
      <c r="D620" s="9"/>
      <c r="E620" s="294"/>
      <c r="F620" s="295"/>
      <c r="G620" s="9"/>
      <c r="H620" s="86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59">
        <f t="shared" si="88"/>
        <v>0</v>
      </c>
      <c r="U620" s="161">
        <f t="shared" si="82"/>
      </c>
      <c r="V620" s="162"/>
      <c r="W620" s="255"/>
      <c r="X620" s="32"/>
      <c r="Y620" s="32"/>
      <c r="Z620" s="32"/>
      <c r="AA620" s="32"/>
      <c r="AB620" s="32"/>
      <c r="AC620" s="32">
        <f t="shared" si="86"/>
        <v>0</v>
      </c>
      <c r="AD620" s="33"/>
      <c r="AE620" s="33">
        <f t="shared" si="89"/>
        <v>0</v>
      </c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>
        <f t="shared" si="87"/>
        <v>0</v>
      </c>
    </row>
    <row r="621" spans="2:49" ht="12.75">
      <c r="B621" s="29" t="s">
        <v>633</v>
      </c>
      <c r="C621" s="5" t="s">
        <v>389</v>
      </c>
      <c r="D621" s="9">
        <f>0.019+0.145</f>
        <v>0.16399999999999998</v>
      </c>
      <c r="E621" s="294"/>
      <c r="F621" s="295"/>
      <c r="G621" s="9"/>
      <c r="H621" s="86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59">
        <f t="shared" si="88"/>
        <v>0.02733333333333333</v>
      </c>
      <c r="U621" s="161"/>
      <c r="V621" s="162"/>
      <c r="W621" s="255"/>
      <c r="X621" s="32"/>
      <c r="Y621" s="32"/>
      <c r="Z621" s="32">
        <f>0.019+0.145</f>
        <v>0.16399999999999998</v>
      </c>
      <c r="AA621" s="32"/>
      <c r="AB621" s="32"/>
      <c r="AC621" s="32">
        <f t="shared" si="86"/>
        <v>0</v>
      </c>
      <c r="AD621" s="33"/>
      <c r="AE621" s="33">
        <f t="shared" si="89"/>
        <v>0.16399999999999998</v>
      </c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</row>
    <row r="622" spans="2:49" ht="12.75">
      <c r="B622" s="29" t="s">
        <v>636</v>
      </c>
      <c r="C622" s="5" t="s">
        <v>390</v>
      </c>
      <c r="D622" s="9">
        <v>0.045</v>
      </c>
      <c r="E622" s="294"/>
      <c r="F622" s="295"/>
      <c r="G622" s="9"/>
      <c r="H622" s="86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59">
        <f t="shared" si="88"/>
        <v>0.0075</v>
      </c>
      <c r="U622" s="161"/>
      <c r="V622" s="162"/>
      <c r="W622" s="255"/>
      <c r="X622" s="32"/>
      <c r="Y622" s="32"/>
      <c r="Z622" s="32"/>
      <c r="AA622" s="32"/>
      <c r="AB622" s="32">
        <v>0.045</v>
      </c>
      <c r="AC622" s="32">
        <f t="shared" si="86"/>
        <v>0</v>
      </c>
      <c r="AD622" s="33"/>
      <c r="AE622" s="33">
        <f t="shared" si="89"/>
        <v>0.045</v>
      </c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</row>
    <row r="623" spans="2:49" ht="12.75">
      <c r="B623" s="29" t="s">
        <v>634</v>
      </c>
      <c r="C623" s="5" t="s">
        <v>314</v>
      </c>
      <c r="D623" s="9">
        <f>0.134-0.011</f>
        <v>0.12300000000000001</v>
      </c>
      <c r="E623" s="294"/>
      <c r="F623" s="295"/>
      <c r="G623" s="9"/>
      <c r="H623" s="86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59">
        <f t="shared" si="88"/>
        <v>0.0205</v>
      </c>
      <c r="U623" s="161" t="str">
        <f t="shared" si="82"/>
        <v>adjust profile</v>
      </c>
      <c r="V623" s="162"/>
      <c r="W623" s="255"/>
      <c r="X623" s="32"/>
      <c r="Y623" s="32"/>
      <c r="Z623" s="32">
        <f>0.134-0.011</f>
        <v>0.12300000000000001</v>
      </c>
      <c r="AA623" s="32"/>
      <c r="AB623" s="32"/>
      <c r="AC623" s="32">
        <f t="shared" si="86"/>
        <v>0</v>
      </c>
      <c r="AD623" s="33"/>
      <c r="AE623" s="33">
        <f t="shared" si="89"/>
        <v>0.12300000000000001</v>
      </c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>
        <f t="shared" si="87"/>
        <v>0</v>
      </c>
    </row>
    <row r="624" spans="2:49" ht="12.75">
      <c r="B624" s="29" t="s">
        <v>322</v>
      </c>
      <c r="C624" s="5" t="s">
        <v>324</v>
      </c>
      <c r="D624" s="9">
        <v>0.03</v>
      </c>
      <c r="E624" s="294"/>
      <c r="F624" s="295"/>
      <c r="G624" s="9"/>
      <c r="H624" s="86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59">
        <f t="shared" si="88"/>
        <v>0.005</v>
      </c>
      <c r="U624" s="161" t="str">
        <f t="shared" si="82"/>
        <v>adjust profile</v>
      </c>
      <c r="V624" s="162"/>
      <c r="W624" s="255"/>
      <c r="X624" s="32"/>
      <c r="Y624" s="32"/>
      <c r="Z624" s="32"/>
      <c r="AA624" s="32"/>
      <c r="AB624" s="32">
        <v>0.03</v>
      </c>
      <c r="AC624" s="32">
        <f t="shared" si="86"/>
        <v>0</v>
      </c>
      <c r="AD624" s="33"/>
      <c r="AE624" s="33">
        <f t="shared" si="89"/>
        <v>0.03</v>
      </c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</row>
    <row r="625" spans="2:49" ht="12.75">
      <c r="B625" s="29" t="s">
        <v>323</v>
      </c>
      <c r="C625" s="5" t="s">
        <v>325</v>
      </c>
      <c r="D625" s="9">
        <v>0.1</v>
      </c>
      <c r="E625" s="294"/>
      <c r="F625" s="295"/>
      <c r="G625" s="9"/>
      <c r="H625" s="86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59">
        <f t="shared" si="88"/>
        <v>0.016666666666666666</v>
      </c>
      <c r="U625" s="161" t="str">
        <f t="shared" si="82"/>
        <v>adjust profile</v>
      </c>
      <c r="V625" s="162"/>
      <c r="W625" s="255"/>
      <c r="X625" s="32"/>
      <c r="Y625" s="32"/>
      <c r="Z625" s="32"/>
      <c r="AA625" s="32"/>
      <c r="AB625" s="32">
        <v>0.1</v>
      </c>
      <c r="AC625" s="32">
        <f t="shared" si="86"/>
        <v>0</v>
      </c>
      <c r="AD625" s="33"/>
      <c r="AE625" s="33">
        <f t="shared" si="89"/>
        <v>0.1</v>
      </c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</row>
    <row r="626" spans="1:49" ht="12.75">
      <c r="A626" s="29" t="s">
        <v>388</v>
      </c>
      <c r="B626" s="29" t="s">
        <v>637</v>
      </c>
      <c r="C626" s="5" t="s">
        <v>387</v>
      </c>
      <c r="D626" s="9">
        <v>0.039</v>
      </c>
      <c r="E626" s="294"/>
      <c r="F626" s="295"/>
      <c r="G626" s="9"/>
      <c r="H626" s="86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>
        <v>0.039</v>
      </c>
      <c r="T626" s="159">
        <f>SUM(H626:I626)</f>
        <v>0</v>
      </c>
      <c r="U626" s="161"/>
      <c r="V626" s="162"/>
      <c r="W626" s="255"/>
      <c r="X626" s="32"/>
      <c r="Y626" s="32"/>
      <c r="Z626" s="32"/>
      <c r="AA626" s="32"/>
      <c r="AB626" s="32">
        <v>0.039</v>
      </c>
      <c r="AC626" s="32">
        <f t="shared" si="86"/>
        <v>0</v>
      </c>
      <c r="AD626" s="33"/>
      <c r="AE626" s="33">
        <f t="shared" si="89"/>
        <v>0.039</v>
      </c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</row>
    <row r="627" spans="2:49" ht="12.75">
      <c r="B627" s="29" t="s">
        <v>1173</v>
      </c>
      <c r="C627" s="5" t="s">
        <v>1172</v>
      </c>
      <c r="D627" s="9"/>
      <c r="E627" s="294"/>
      <c r="F627" s="295"/>
      <c r="G627" s="9">
        <v>0.002</v>
      </c>
      <c r="H627" s="86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59">
        <f t="shared" si="88"/>
        <v>0</v>
      </c>
      <c r="U627" s="161"/>
      <c r="V627" s="162"/>
      <c r="W627" s="255"/>
      <c r="X627" s="32"/>
      <c r="Y627" s="32"/>
      <c r="Z627" s="32"/>
      <c r="AA627" s="32"/>
      <c r="AB627" s="32"/>
      <c r="AC627" s="32">
        <f t="shared" si="86"/>
        <v>0</v>
      </c>
      <c r="AD627" s="33"/>
      <c r="AE627" s="33">
        <f t="shared" si="89"/>
        <v>0</v>
      </c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</row>
    <row r="628" spans="2:50" ht="12.75">
      <c r="B628" s="29" t="s">
        <v>635</v>
      </c>
      <c r="C628" s="5" t="s">
        <v>140</v>
      </c>
      <c r="D628" s="9">
        <v>0.15</v>
      </c>
      <c r="E628" s="294"/>
      <c r="F628" s="295"/>
      <c r="G628" s="9"/>
      <c r="H628" s="86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59">
        <f t="shared" si="88"/>
        <v>0.024999999999999998</v>
      </c>
      <c r="U628" s="161" t="str">
        <f t="shared" si="82"/>
        <v>adjust profile</v>
      </c>
      <c r="V628" s="162"/>
      <c r="W628" s="255"/>
      <c r="X628" s="32"/>
      <c r="Y628" s="32"/>
      <c r="Z628" s="32"/>
      <c r="AA628" s="32"/>
      <c r="AB628" s="32"/>
      <c r="AC628" s="32">
        <f t="shared" si="86"/>
        <v>0.15</v>
      </c>
      <c r="AD628" s="33"/>
      <c r="AE628" s="33">
        <f t="shared" si="89"/>
        <v>0.15</v>
      </c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>
        <v>0.15</v>
      </c>
      <c r="AW628" s="33">
        <f t="shared" si="87"/>
        <v>0.15</v>
      </c>
      <c r="AX628" s="29" t="s">
        <v>315</v>
      </c>
    </row>
    <row r="629" spans="3:49" ht="13.5" thickBot="1">
      <c r="C629" s="5"/>
      <c r="D629" s="9"/>
      <c r="E629" s="302"/>
      <c r="F629" s="303"/>
      <c r="G629" s="9"/>
      <c r="H629" s="86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205"/>
      <c r="U629" s="161">
        <f t="shared" si="82"/>
      </c>
      <c r="V629" s="162"/>
      <c r="W629" s="255"/>
      <c r="X629" s="32"/>
      <c r="Y629" s="32"/>
      <c r="Z629" s="32"/>
      <c r="AA629" s="32"/>
      <c r="AB629" s="32"/>
      <c r="AC629" s="32">
        <f t="shared" si="86"/>
        <v>0</v>
      </c>
      <c r="AD629" s="33"/>
      <c r="AE629" s="33">
        <f t="shared" si="89"/>
        <v>0</v>
      </c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>
        <f t="shared" si="87"/>
        <v>0</v>
      </c>
    </row>
    <row r="630" spans="3:49" ht="13.5" thickBot="1">
      <c r="C630" s="7" t="s">
        <v>348</v>
      </c>
      <c r="D630" s="21">
        <f>SUM(D609:D629)</f>
        <v>3.7780000000000005</v>
      </c>
      <c r="E630" s="292"/>
      <c r="F630" s="293"/>
      <c r="G630" s="21">
        <f>SUM(G609:G629)</f>
        <v>0.002</v>
      </c>
      <c r="H630" s="92">
        <f>SUM(H610:H629)</f>
        <v>0.041</v>
      </c>
      <c r="I630" s="93">
        <f>SUM(I610:I629)</f>
        <v>0.041</v>
      </c>
      <c r="J630" s="93">
        <f>SUM(J610:J629)</f>
        <v>0.041</v>
      </c>
      <c r="K630" s="93">
        <f aca="true" t="shared" si="90" ref="K630:Q630">SUM(K610:K629)</f>
        <v>0.041</v>
      </c>
      <c r="L630" s="93">
        <f t="shared" si="90"/>
        <v>0.042</v>
      </c>
      <c r="M630" s="93">
        <f t="shared" si="90"/>
        <v>0.042</v>
      </c>
      <c r="N630" s="93">
        <f t="shared" si="90"/>
        <v>0.042</v>
      </c>
      <c r="O630" s="93">
        <f t="shared" si="90"/>
        <v>0.042</v>
      </c>
      <c r="P630" s="93">
        <f t="shared" si="90"/>
        <v>0.042</v>
      </c>
      <c r="Q630" s="93">
        <f t="shared" si="90"/>
        <v>0.042</v>
      </c>
      <c r="R630" s="93">
        <f>SUM(R610:R629)</f>
        <v>0.042</v>
      </c>
      <c r="S630" s="93">
        <f>SUM(S610:S629)</f>
        <v>2.306</v>
      </c>
      <c r="T630" s="205">
        <f aca="true" t="shared" si="91" ref="T630:T670">D630/12</f>
        <v>0.31483333333333335</v>
      </c>
      <c r="U630" s="161" t="str">
        <f t="shared" si="82"/>
        <v>adjust profile</v>
      </c>
      <c r="V630" s="162"/>
      <c r="W630" s="255"/>
      <c r="X630" s="174">
        <f aca="true" t="shared" si="92" ref="X630:AD630">SUM(X609:X629)</f>
        <v>0</v>
      </c>
      <c r="Y630" s="24">
        <f t="shared" si="92"/>
        <v>0</v>
      </c>
      <c r="Z630" s="24">
        <f t="shared" si="92"/>
        <v>0.487</v>
      </c>
      <c r="AA630" s="24">
        <f t="shared" si="92"/>
        <v>0</v>
      </c>
      <c r="AB630" s="24">
        <f t="shared" si="92"/>
        <v>2.955</v>
      </c>
      <c r="AC630" s="24">
        <f t="shared" si="92"/>
        <v>0.15</v>
      </c>
      <c r="AD630" s="24">
        <f t="shared" si="92"/>
        <v>0.186</v>
      </c>
      <c r="AE630" s="96">
        <f>SUM(X630:AD630)</f>
        <v>3.778</v>
      </c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202">
        <f>SUM(AV610:AV629)</f>
        <v>0.15</v>
      </c>
      <c r="AW630" s="186">
        <f>SUM(AG630:AV630)</f>
        <v>0.15</v>
      </c>
    </row>
    <row r="631" spans="3:49" ht="12.75">
      <c r="C631" s="7"/>
      <c r="D631" s="7"/>
      <c r="E631" s="300"/>
      <c r="F631" s="301"/>
      <c r="G631" s="9"/>
      <c r="H631" s="86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204"/>
      <c r="U631" s="161">
        <f t="shared" si="82"/>
      </c>
      <c r="V631" s="162"/>
      <c r="W631" s="255"/>
      <c r="X631" s="32"/>
      <c r="Y631" s="32"/>
      <c r="Z631" s="32"/>
      <c r="AA631" s="32"/>
      <c r="AB631" s="32"/>
      <c r="AC631" s="32"/>
      <c r="AD631" s="33"/>
      <c r="AE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</row>
    <row r="632" spans="3:49" ht="12.75">
      <c r="C632" s="7" t="s">
        <v>294</v>
      </c>
      <c r="D632" s="7"/>
      <c r="E632" s="300"/>
      <c r="F632" s="301"/>
      <c r="G632" s="9"/>
      <c r="H632" s="86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59"/>
      <c r="U632" s="161">
        <f t="shared" si="82"/>
      </c>
      <c r="V632" s="162"/>
      <c r="W632" s="255"/>
      <c r="X632" s="32"/>
      <c r="Y632" s="32"/>
      <c r="Z632" s="32"/>
      <c r="AA632" s="32"/>
      <c r="AB632" s="32"/>
      <c r="AC632" s="32"/>
      <c r="AD632" s="33"/>
      <c r="AE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</row>
    <row r="633" spans="3:49" ht="12.75">
      <c r="C633" s="47" t="s">
        <v>152</v>
      </c>
      <c r="D633" s="182">
        <v>0.363</v>
      </c>
      <c r="E633" s="294"/>
      <c r="F633" s="295"/>
      <c r="G633" s="9">
        <v>0.001</v>
      </c>
      <c r="H633" s="86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59">
        <f>D633/12*2</f>
        <v>0.0605</v>
      </c>
      <c r="U633" s="161" t="str">
        <f t="shared" si="82"/>
        <v>adjust profile</v>
      </c>
      <c r="V633" s="162"/>
      <c r="W633" s="255"/>
      <c r="X633" s="32"/>
      <c r="Y633" s="32"/>
      <c r="Z633" s="32"/>
      <c r="AA633" s="32"/>
      <c r="AB633" s="32"/>
      <c r="AC633" s="32">
        <f>SUM(AG633:AV633)</f>
        <v>0.363</v>
      </c>
      <c r="AD633" s="33"/>
      <c r="AE633" s="33">
        <f>SUM(X633:AD633)</f>
        <v>0.363</v>
      </c>
      <c r="AG633" s="33"/>
      <c r="AH633" s="33"/>
      <c r="AI633" s="33"/>
      <c r="AJ633" s="33"/>
      <c r="AK633" s="33"/>
      <c r="AL633" s="33"/>
      <c r="AM633" s="33"/>
      <c r="AN633" s="33"/>
      <c r="AO633" s="33"/>
      <c r="AP633" s="33">
        <v>0.163</v>
      </c>
      <c r="AQ633" s="33">
        <v>0.2</v>
      </c>
      <c r="AR633" s="33"/>
      <c r="AS633" s="33"/>
      <c r="AT633" s="33"/>
      <c r="AU633" s="33"/>
      <c r="AV633" s="33"/>
      <c r="AW633" s="33">
        <f>SUM(AG633:AV633)</f>
        <v>0.363</v>
      </c>
    </row>
    <row r="634" spans="3:49" ht="12.75">
      <c r="C634" s="47" t="s">
        <v>134</v>
      </c>
      <c r="D634" s="182">
        <v>8.126</v>
      </c>
      <c r="E634" s="294"/>
      <c r="F634" s="295"/>
      <c r="G634" s="9">
        <v>0.012</v>
      </c>
      <c r="H634" s="86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59">
        <f aca="true" t="shared" si="93" ref="T634:T650">D634/12*2</f>
        <v>1.3543333333333332</v>
      </c>
      <c r="U634" s="161" t="str">
        <f t="shared" si="82"/>
        <v>adjust profile</v>
      </c>
      <c r="V634" s="162"/>
      <c r="W634" s="255"/>
      <c r="X634" s="32"/>
      <c r="Y634" s="32"/>
      <c r="Z634" s="32">
        <v>6</v>
      </c>
      <c r="AA634" s="32"/>
      <c r="AB634" s="32"/>
      <c r="AC634" s="32">
        <f aca="true" t="shared" si="94" ref="AC634:AC668">SUM(AG634:AV634)</f>
        <v>2.126</v>
      </c>
      <c r="AD634" s="33"/>
      <c r="AE634" s="33">
        <f aca="true" t="shared" si="95" ref="AE634:AE668">SUM(X634:AD634)</f>
        <v>8.126</v>
      </c>
      <c r="AG634" s="33"/>
      <c r="AH634" s="33"/>
      <c r="AI634" s="33"/>
      <c r="AJ634" s="33"/>
      <c r="AK634" s="33"/>
      <c r="AL634" s="33"/>
      <c r="AM634" s="33"/>
      <c r="AN634" s="33"/>
      <c r="AO634" s="33"/>
      <c r="AP634" s="33">
        <v>1.962</v>
      </c>
      <c r="AQ634" s="33">
        <v>0.164</v>
      </c>
      <c r="AR634" s="33"/>
      <c r="AS634" s="33"/>
      <c r="AT634" s="33"/>
      <c r="AU634" s="33"/>
      <c r="AV634" s="33"/>
      <c r="AW634" s="33">
        <f aca="true" t="shared" si="96" ref="AW634:AW661">SUM(AG634:AV634)</f>
        <v>2.126</v>
      </c>
    </row>
    <row r="635" spans="3:49" ht="12.75">
      <c r="C635" s="47" t="s">
        <v>154</v>
      </c>
      <c r="D635" s="183">
        <v>0.8</v>
      </c>
      <c r="E635" s="294"/>
      <c r="F635" s="295"/>
      <c r="G635" s="9">
        <v>0.015</v>
      </c>
      <c r="H635" s="86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59">
        <f t="shared" si="93"/>
        <v>0.13333333333333333</v>
      </c>
      <c r="U635" s="161" t="str">
        <f t="shared" si="82"/>
        <v>adjust profile</v>
      </c>
      <c r="V635" s="162"/>
      <c r="W635" s="255"/>
      <c r="X635" s="32"/>
      <c r="Y635" s="32"/>
      <c r="Z635" s="32"/>
      <c r="AA635" s="32"/>
      <c r="AB635" s="32"/>
      <c r="AC635" s="32">
        <f t="shared" si="94"/>
        <v>0.8</v>
      </c>
      <c r="AD635" s="33"/>
      <c r="AE635" s="33">
        <f t="shared" si="95"/>
        <v>0.8</v>
      </c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>
        <v>0.8</v>
      </c>
      <c r="AR635" s="33"/>
      <c r="AS635" s="33"/>
      <c r="AT635" s="33"/>
      <c r="AU635" s="33"/>
      <c r="AV635" s="33"/>
      <c r="AW635" s="33">
        <f t="shared" si="96"/>
        <v>0.8</v>
      </c>
    </row>
    <row r="636" spans="3:49" ht="12.75">
      <c r="C636" s="47" t="s">
        <v>336</v>
      </c>
      <c r="D636" s="183">
        <v>0.05</v>
      </c>
      <c r="E636" s="294"/>
      <c r="F636" s="295"/>
      <c r="G636" s="9">
        <v>0.013</v>
      </c>
      <c r="H636" s="86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59">
        <f t="shared" si="93"/>
        <v>0.008333333333333333</v>
      </c>
      <c r="U636" s="161"/>
      <c r="V636" s="162"/>
      <c r="W636" s="255"/>
      <c r="X636" s="32"/>
      <c r="Y636" s="32"/>
      <c r="Z636" s="32"/>
      <c r="AA636" s="32"/>
      <c r="AB636" s="32">
        <v>0.05</v>
      </c>
      <c r="AC636" s="32">
        <f t="shared" si="94"/>
        <v>0</v>
      </c>
      <c r="AD636" s="33"/>
      <c r="AE636" s="33">
        <f t="shared" si="95"/>
        <v>0.05</v>
      </c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>
        <f t="shared" si="96"/>
        <v>0</v>
      </c>
    </row>
    <row r="637" spans="3:49" ht="12.75">
      <c r="C637" s="47" t="s">
        <v>337</v>
      </c>
      <c r="D637" s="183"/>
      <c r="E637" s="294"/>
      <c r="F637" s="295"/>
      <c r="G637" s="9">
        <v>0.081</v>
      </c>
      <c r="H637" s="86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59">
        <f t="shared" si="93"/>
        <v>0</v>
      </c>
      <c r="U637" s="161"/>
      <c r="V637" s="162"/>
      <c r="W637" s="255"/>
      <c r="X637" s="32"/>
      <c r="Y637" s="32"/>
      <c r="Z637" s="32"/>
      <c r="AA637" s="32"/>
      <c r="AB637" s="32"/>
      <c r="AC637" s="32">
        <f t="shared" si="94"/>
        <v>0</v>
      </c>
      <c r="AD637" s="33"/>
      <c r="AE637" s="33">
        <f t="shared" si="95"/>
        <v>0</v>
      </c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>
        <f t="shared" si="96"/>
        <v>0</v>
      </c>
    </row>
    <row r="638" spans="3:49" ht="12.75">
      <c r="C638" s="47" t="s">
        <v>263</v>
      </c>
      <c r="D638" s="183">
        <v>0.64</v>
      </c>
      <c r="E638" s="294"/>
      <c r="F638" s="295"/>
      <c r="G638" s="9"/>
      <c r="H638" s="86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59">
        <f t="shared" si="93"/>
        <v>0.10666666666666667</v>
      </c>
      <c r="U638" s="161" t="str">
        <f t="shared" si="82"/>
        <v>adjust profile</v>
      </c>
      <c r="V638" s="162"/>
      <c r="W638" s="255"/>
      <c r="X638" s="32"/>
      <c r="Y638" s="32"/>
      <c r="Z638" s="32"/>
      <c r="AA638" s="32"/>
      <c r="AB638" s="32"/>
      <c r="AC638" s="32">
        <f t="shared" si="94"/>
        <v>0.64</v>
      </c>
      <c r="AD638" s="33"/>
      <c r="AE638" s="33">
        <f t="shared" si="95"/>
        <v>0.64</v>
      </c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>
        <v>0.61</v>
      </c>
      <c r="AR638" s="33"/>
      <c r="AS638" s="33"/>
      <c r="AT638" s="33"/>
      <c r="AU638" s="33"/>
      <c r="AV638" s="33">
        <v>0.03</v>
      </c>
      <c r="AW638" s="33">
        <f t="shared" si="96"/>
        <v>0.64</v>
      </c>
    </row>
    <row r="639" spans="3:49" ht="12.75">
      <c r="C639" s="47" t="s">
        <v>156</v>
      </c>
      <c r="D639" s="183">
        <v>0.1</v>
      </c>
      <c r="E639" s="294"/>
      <c r="F639" s="295"/>
      <c r="G639" s="9"/>
      <c r="H639" s="86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59">
        <f t="shared" si="93"/>
        <v>0.016666666666666666</v>
      </c>
      <c r="U639" s="161" t="str">
        <f t="shared" si="82"/>
        <v>adjust profile</v>
      </c>
      <c r="V639" s="162"/>
      <c r="W639" s="255"/>
      <c r="X639" s="32"/>
      <c r="Y639" s="32"/>
      <c r="Z639" s="32"/>
      <c r="AA639" s="32"/>
      <c r="AB639" s="32"/>
      <c r="AC639" s="32">
        <f t="shared" si="94"/>
        <v>0.05</v>
      </c>
      <c r="AD639" s="33">
        <v>0.05</v>
      </c>
      <c r="AE639" s="33">
        <f t="shared" si="95"/>
        <v>0.1</v>
      </c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>
        <v>0.05</v>
      </c>
      <c r="AR639" s="33"/>
      <c r="AS639" s="33"/>
      <c r="AT639" s="33"/>
      <c r="AU639" s="33"/>
      <c r="AV639" s="33"/>
      <c r="AW639" s="33">
        <f t="shared" si="96"/>
        <v>0.05</v>
      </c>
    </row>
    <row r="640" spans="3:49" ht="12.75">
      <c r="C640" s="47" t="s">
        <v>157</v>
      </c>
      <c r="D640" s="183">
        <v>0.026</v>
      </c>
      <c r="E640" s="294"/>
      <c r="F640" s="295"/>
      <c r="G640" s="9"/>
      <c r="H640" s="86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59">
        <f t="shared" si="93"/>
        <v>0.004333333333333333</v>
      </c>
      <c r="U640" s="161" t="str">
        <f t="shared" si="82"/>
        <v>adjust profile</v>
      </c>
      <c r="V640" s="162"/>
      <c r="W640" s="255"/>
      <c r="X640" s="32"/>
      <c r="Y640" s="32"/>
      <c r="Z640" s="32"/>
      <c r="AA640" s="172"/>
      <c r="AB640" s="32"/>
      <c r="AC640" s="336">
        <f t="shared" si="94"/>
        <v>0.026</v>
      </c>
      <c r="AD640" s="33"/>
      <c r="AE640" s="33">
        <f t="shared" si="95"/>
        <v>0.026</v>
      </c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>
        <v>0.026</v>
      </c>
      <c r="AR640" s="33"/>
      <c r="AS640" s="33"/>
      <c r="AT640" s="33"/>
      <c r="AU640" s="33"/>
      <c r="AV640" s="33"/>
      <c r="AW640" s="33">
        <f t="shared" si="96"/>
        <v>0.026</v>
      </c>
    </row>
    <row r="641" spans="3:49" ht="12.75">
      <c r="C641" s="47" t="s">
        <v>158</v>
      </c>
      <c r="D641" s="183">
        <v>0.078</v>
      </c>
      <c r="E641" s="294"/>
      <c r="F641" s="295"/>
      <c r="G641" s="9"/>
      <c r="H641" s="86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59">
        <f t="shared" si="93"/>
        <v>0.013</v>
      </c>
      <c r="U641" s="161" t="str">
        <f t="shared" si="82"/>
        <v>adjust profile</v>
      </c>
      <c r="V641" s="162"/>
      <c r="W641" s="255"/>
      <c r="X641" s="32"/>
      <c r="Y641" s="32"/>
      <c r="Z641" s="32"/>
      <c r="AA641" s="172"/>
      <c r="AB641" s="32"/>
      <c r="AC641" s="336">
        <f t="shared" si="94"/>
        <v>0.078</v>
      </c>
      <c r="AD641" s="33"/>
      <c r="AE641" s="33">
        <f t="shared" si="95"/>
        <v>0.078</v>
      </c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>
        <v>0.078</v>
      </c>
      <c r="AR641" s="33"/>
      <c r="AS641" s="33"/>
      <c r="AT641" s="33"/>
      <c r="AU641" s="33"/>
      <c r="AV641" s="33"/>
      <c r="AW641" s="33">
        <f t="shared" si="96"/>
        <v>0.078</v>
      </c>
    </row>
    <row r="642" spans="3:49" ht="12.75">
      <c r="C642" s="182" t="s">
        <v>1240</v>
      </c>
      <c r="D642" s="200"/>
      <c r="E642" s="148"/>
      <c r="F642" s="148"/>
      <c r="G642" s="9"/>
      <c r="H642" s="86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59"/>
      <c r="U642" s="161"/>
      <c r="V642" s="162"/>
      <c r="W642" s="255"/>
      <c r="X642" s="32"/>
      <c r="Y642" s="32"/>
      <c r="Z642" s="32"/>
      <c r="AA642" s="172"/>
      <c r="AB642" s="337"/>
      <c r="AC642" s="336"/>
      <c r="AD642" s="33"/>
      <c r="AE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>
        <f>SUM(AG642:AV642)</f>
        <v>0</v>
      </c>
    </row>
    <row r="643" spans="3:49" ht="12.75">
      <c r="C643" s="329" t="s">
        <v>1241</v>
      </c>
      <c r="D643" s="200">
        <v>0.15</v>
      </c>
      <c r="E643" s="148"/>
      <c r="F643" s="148"/>
      <c r="G643" s="9"/>
      <c r="H643" s="86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59">
        <f t="shared" si="93"/>
        <v>0.024999999999999998</v>
      </c>
      <c r="U643" s="161"/>
      <c r="V643" s="162"/>
      <c r="W643" s="255"/>
      <c r="X643" s="32"/>
      <c r="Y643" s="32"/>
      <c r="Z643" s="32"/>
      <c r="AA643" s="32"/>
      <c r="AB643" s="83">
        <v>0.15</v>
      </c>
      <c r="AC643" s="32"/>
      <c r="AD643" s="33"/>
      <c r="AE643" s="33">
        <f aca="true" t="shared" si="97" ref="AE643:AE648">SUM(X643:AD643)</f>
        <v>0.15</v>
      </c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</row>
    <row r="644" spans="3:49" ht="12.75">
      <c r="C644" s="329" t="s">
        <v>1242</v>
      </c>
      <c r="D644" s="200">
        <v>0.07</v>
      </c>
      <c r="E644" s="148"/>
      <c r="F644" s="148"/>
      <c r="G644" s="9"/>
      <c r="H644" s="86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59">
        <f t="shared" si="93"/>
        <v>0.011666666666666667</v>
      </c>
      <c r="U644" s="161"/>
      <c r="V644" s="162"/>
      <c r="W644" s="255"/>
      <c r="X644" s="32"/>
      <c r="Y644" s="32"/>
      <c r="Z644" s="32"/>
      <c r="AA644" s="32"/>
      <c r="AB644" s="83">
        <v>0.07</v>
      </c>
      <c r="AC644" s="32"/>
      <c r="AD644" s="33"/>
      <c r="AE644" s="33">
        <f t="shared" si="97"/>
        <v>0.07</v>
      </c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</row>
    <row r="645" spans="3:49" ht="12.75">
      <c r="C645" s="329" t="s">
        <v>1243</v>
      </c>
      <c r="D645" s="200">
        <v>0.05</v>
      </c>
      <c r="E645" s="148"/>
      <c r="F645" s="148"/>
      <c r="G645" s="9"/>
      <c r="H645" s="86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59">
        <f t="shared" si="93"/>
        <v>0.008333333333333333</v>
      </c>
      <c r="U645" s="161"/>
      <c r="V645" s="162"/>
      <c r="W645" s="255"/>
      <c r="X645" s="32"/>
      <c r="Y645" s="32"/>
      <c r="Z645" s="32"/>
      <c r="AA645" s="32"/>
      <c r="AB645" s="83">
        <v>0.05</v>
      </c>
      <c r="AC645" s="32"/>
      <c r="AD645" s="33"/>
      <c r="AE645" s="33">
        <f t="shared" si="97"/>
        <v>0.05</v>
      </c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</row>
    <row r="646" spans="3:49" ht="12.75">
      <c r="C646" s="329" t="s">
        <v>0</v>
      </c>
      <c r="D646" s="200">
        <v>0.05</v>
      </c>
      <c r="E646" s="148"/>
      <c r="F646" s="148"/>
      <c r="G646" s="9"/>
      <c r="H646" s="86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59">
        <f t="shared" si="93"/>
        <v>0.008333333333333333</v>
      </c>
      <c r="U646" s="161"/>
      <c r="V646" s="162"/>
      <c r="W646" s="255"/>
      <c r="X646" s="32"/>
      <c r="Y646" s="32"/>
      <c r="Z646" s="32"/>
      <c r="AA646" s="32"/>
      <c r="AB646" s="83">
        <v>0.05</v>
      </c>
      <c r="AC646" s="32"/>
      <c r="AD646" s="33"/>
      <c r="AE646" s="33">
        <f t="shared" si="97"/>
        <v>0.05</v>
      </c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</row>
    <row r="647" spans="3:49" ht="12.75">
      <c r="C647" s="329" t="s">
        <v>1</v>
      </c>
      <c r="D647" s="200">
        <v>0.18</v>
      </c>
      <c r="E647" s="148"/>
      <c r="F647" s="148"/>
      <c r="G647" s="9"/>
      <c r="H647" s="86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59">
        <f t="shared" si="93"/>
        <v>0.03</v>
      </c>
      <c r="U647" s="161"/>
      <c r="V647" s="162"/>
      <c r="W647" s="255"/>
      <c r="X647" s="32"/>
      <c r="Y647" s="32"/>
      <c r="Z647" s="32"/>
      <c r="AA647" s="32"/>
      <c r="AB647" s="83">
        <v>0.18</v>
      </c>
      <c r="AC647" s="32"/>
      <c r="AD647" s="33"/>
      <c r="AE647" s="33">
        <f t="shared" si="97"/>
        <v>0.18</v>
      </c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</row>
    <row r="648" spans="3:49" ht="12.75">
      <c r="C648" s="329" t="s">
        <v>2</v>
      </c>
      <c r="D648" s="200">
        <v>0.179</v>
      </c>
      <c r="E648" s="148"/>
      <c r="F648" s="148"/>
      <c r="G648" s="9"/>
      <c r="H648" s="86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59">
        <f t="shared" si="93"/>
        <v>0.029833333333333333</v>
      </c>
      <c r="U648" s="161"/>
      <c r="V648" s="162"/>
      <c r="W648" s="255"/>
      <c r="X648" s="32"/>
      <c r="Y648" s="32"/>
      <c r="Z648" s="32"/>
      <c r="AA648" s="32"/>
      <c r="AB648" s="83">
        <v>0.179</v>
      </c>
      <c r="AC648" s="32"/>
      <c r="AD648" s="33"/>
      <c r="AE648" s="33">
        <f t="shared" si="97"/>
        <v>0.179</v>
      </c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</row>
    <row r="649" spans="3:50" ht="12.75">
      <c r="C649" s="47" t="s">
        <v>352</v>
      </c>
      <c r="D649" s="183">
        <f>0.041+0.1+0.36</f>
        <v>0.501</v>
      </c>
      <c r="E649" s="294"/>
      <c r="F649" s="295"/>
      <c r="G649" s="9"/>
      <c r="H649" s="86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59">
        <f t="shared" si="93"/>
        <v>0.0835</v>
      </c>
      <c r="U649" s="161" t="str">
        <f t="shared" si="82"/>
        <v>adjust profile</v>
      </c>
      <c r="V649" s="162"/>
      <c r="W649" s="255"/>
      <c r="X649" s="32"/>
      <c r="Y649" s="32"/>
      <c r="Z649" s="32"/>
      <c r="AA649" s="32"/>
      <c r="AB649" s="32">
        <f>0.1+0.08</f>
        <v>0.18</v>
      </c>
      <c r="AC649" s="32">
        <f t="shared" si="94"/>
        <v>0.321</v>
      </c>
      <c r="AD649" s="33"/>
      <c r="AE649" s="33">
        <f t="shared" si="95"/>
        <v>0.501</v>
      </c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>
        <f>0.041+0.28</f>
        <v>0.321</v>
      </c>
      <c r="AW649" s="33">
        <f t="shared" si="96"/>
        <v>0.321</v>
      </c>
      <c r="AX649" s="29" t="s">
        <v>386</v>
      </c>
    </row>
    <row r="650" spans="3:49" ht="12.75">
      <c r="C650" s="47" t="s">
        <v>159</v>
      </c>
      <c r="D650" s="183">
        <v>0.165</v>
      </c>
      <c r="E650" s="294"/>
      <c r="F650" s="295"/>
      <c r="G650" s="9"/>
      <c r="H650" s="86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59">
        <f t="shared" si="93"/>
        <v>0.0275</v>
      </c>
      <c r="U650" s="161" t="str">
        <f t="shared" si="82"/>
        <v>adjust profile</v>
      </c>
      <c r="V650" s="162"/>
      <c r="W650" s="255"/>
      <c r="X650" s="32"/>
      <c r="Y650" s="32"/>
      <c r="Z650" s="32"/>
      <c r="AA650" s="32"/>
      <c r="AB650" s="32"/>
      <c r="AC650" s="32">
        <f t="shared" si="94"/>
        <v>0.165</v>
      </c>
      <c r="AD650" s="33"/>
      <c r="AE650" s="33">
        <f t="shared" si="95"/>
        <v>0.165</v>
      </c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>
        <v>0.165</v>
      </c>
      <c r="AR650" s="33"/>
      <c r="AS650" s="33"/>
      <c r="AT650" s="33"/>
      <c r="AU650" s="33"/>
      <c r="AV650" s="33"/>
      <c r="AW650" s="33">
        <f t="shared" si="96"/>
        <v>0.165</v>
      </c>
    </row>
    <row r="651" spans="3:49" ht="12.75" hidden="1">
      <c r="C651" s="5"/>
      <c r="D651" s="9"/>
      <c r="E651" s="294"/>
      <c r="F651" s="295"/>
      <c r="G651" s="9"/>
      <c r="H651" s="86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59">
        <f t="shared" si="91"/>
        <v>0</v>
      </c>
      <c r="U651" s="161">
        <f t="shared" si="82"/>
      </c>
      <c r="V651" s="162"/>
      <c r="W651" s="255"/>
      <c r="X651" s="32"/>
      <c r="Y651" s="32"/>
      <c r="Z651" s="32"/>
      <c r="AA651" s="32"/>
      <c r="AB651" s="32"/>
      <c r="AC651" s="32">
        <f t="shared" si="94"/>
        <v>0</v>
      </c>
      <c r="AD651" s="33"/>
      <c r="AE651" s="33">
        <f t="shared" si="95"/>
        <v>0</v>
      </c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R651" s="33"/>
      <c r="AS651" s="33"/>
      <c r="AT651" s="33"/>
      <c r="AU651" s="33"/>
      <c r="AV651" s="33"/>
      <c r="AW651" s="33">
        <f t="shared" si="96"/>
        <v>0</v>
      </c>
    </row>
    <row r="652" spans="3:49" ht="12.75" hidden="1">
      <c r="C652" s="5"/>
      <c r="D652" s="9"/>
      <c r="E652" s="294"/>
      <c r="F652" s="295"/>
      <c r="G652" s="9"/>
      <c r="H652" s="86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59">
        <f t="shared" si="91"/>
        <v>0</v>
      </c>
      <c r="U652" s="161">
        <f t="shared" si="82"/>
      </c>
      <c r="V652" s="162"/>
      <c r="W652" s="255"/>
      <c r="X652" s="32"/>
      <c r="Y652" s="32"/>
      <c r="Z652" s="32"/>
      <c r="AA652" s="32"/>
      <c r="AB652" s="32"/>
      <c r="AC652" s="32">
        <f t="shared" si="94"/>
        <v>0</v>
      </c>
      <c r="AD652" s="33"/>
      <c r="AE652" s="33">
        <f t="shared" si="95"/>
        <v>0</v>
      </c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R652" s="33"/>
      <c r="AS652" s="33"/>
      <c r="AT652" s="33"/>
      <c r="AU652" s="33"/>
      <c r="AV652" s="33"/>
      <c r="AW652" s="33">
        <f t="shared" si="96"/>
        <v>0</v>
      </c>
    </row>
    <row r="653" spans="3:49" ht="12.75" hidden="1">
      <c r="C653" s="5"/>
      <c r="D653" s="9"/>
      <c r="E653" s="294"/>
      <c r="F653" s="295"/>
      <c r="G653" s="9"/>
      <c r="H653" s="86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59">
        <f t="shared" si="91"/>
        <v>0</v>
      </c>
      <c r="U653" s="161">
        <f t="shared" si="82"/>
      </c>
      <c r="V653" s="162"/>
      <c r="W653" s="255"/>
      <c r="X653" s="32"/>
      <c r="Y653" s="32"/>
      <c r="Z653" s="32"/>
      <c r="AA653" s="32"/>
      <c r="AB653" s="32"/>
      <c r="AC653" s="32">
        <f t="shared" si="94"/>
        <v>0</v>
      </c>
      <c r="AD653" s="33"/>
      <c r="AE653" s="33">
        <f t="shared" si="95"/>
        <v>0</v>
      </c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R653" s="33"/>
      <c r="AS653" s="33"/>
      <c r="AT653" s="33"/>
      <c r="AU653" s="33"/>
      <c r="AV653" s="33"/>
      <c r="AW653" s="33">
        <f t="shared" si="96"/>
        <v>0</v>
      </c>
    </row>
    <row r="654" spans="3:49" ht="12.75" hidden="1">
      <c r="C654" s="5"/>
      <c r="D654" s="9"/>
      <c r="E654" s="294"/>
      <c r="F654" s="295"/>
      <c r="G654" s="9"/>
      <c r="H654" s="86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59">
        <f t="shared" si="91"/>
        <v>0</v>
      </c>
      <c r="U654" s="161">
        <f t="shared" si="82"/>
      </c>
      <c r="V654" s="162"/>
      <c r="W654" s="255"/>
      <c r="X654" s="32"/>
      <c r="Y654" s="32"/>
      <c r="Z654" s="32"/>
      <c r="AA654" s="32"/>
      <c r="AB654" s="32"/>
      <c r="AC654" s="32">
        <f t="shared" si="94"/>
        <v>0</v>
      </c>
      <c r="AD654" s="33"/>
      <c r="AE654" s="33">
        <f t="shared" si="95"/>
        <v>0</v>
      </c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R654" s="33"/>
      <c r="AS654" s="33"/>
      <c r="AT654" s="33"/>
      <c r="AU654" s="33"/>
      <c r="AV654" s="33"/>
      <c r="AW654" s="33">
        <f t="shared" si="96"/>
        <v>0</v>
      </c>
    </row>
    <row r="655" spans="3:49" ht="12.75" hidden="1">
      <c r="C655" s="5"/>
      <c r="D655" s="9"/>
      <c r="E655" s="294"/>
      <c r="F655" s="295"/>
      <c r="G655" s="9"/>
      <c r="H655" s="86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59">
        <f t="shared" si="91"/>
        <v>0</v>
      </c>
      <c r="U655" s="161">
        <f t="shared" si="82"/>
      </c>
      <c r="V655" s="162"/>
      <c r="W655" s="255"/>
      <c r="X655" s="32"/>
      <c r="Y655" s="32"/>
      <c r="Z655" s="32"/>
      <c r="AA655" s="32"/>
      <c r="AB655" s="32"/>
      <c r="AC655" s="32">
        <f t="shared" si="94"/>
        <v>0</v>
      </c>
      <c r="AD655" s="33"/>
      <c r="AE655" s="33">
        <f t="shared" si="95"/>
        <v>0</v>
      </c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R655" s="33"/>
      <c r="AT655" s="33"/>
      <c r="AU655" s="33"/>
      <c r="AV655" s="33"/>
      <c r="AW655" s="33">
        <f t="shared" si="96"/>
        <v>0</v>
      </c>
    </row>
    <row r="656" spans="3:49" ht="12.75" hidden="1">
      <c r="C656" s="5"/>
      <c r="D656" s="9"/>
      <c r="E656" s="294"/>
      <c r="F656" s="295"/>
      <c r="G656" s="9"/>
      <c r="H656" s="86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59">
        <f t="shared" si="91"/>
        <v>0</v>
      </c>
      <c r="U656" s="161">
        <f t="shared" si="82"/>
      </c>
      <c r="V656" s="162"/>
      <c r="W656" s="255"/>
      <c r="X656" s="32"/>
      <c r="Y656" s="32"/>
      <c r="Z656" s="32"/>
      <c r="AA656" s="32"/>
      <c r="AB656" s="32"/>
      <c r="AC656" s="32">
        <f t="shared" si="94"/>
        <v>0</v>
      </c>
      <c r="AD656" s="33"/>
      <c r="AE656" s="33">
        <f t="shared" si="95"/>
        <v>0</v>
      </c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R656" s="33"/>
      <c r="AT656" s="33"/>
      <c r="AU656" s="33"/>
      <c r="AV656" s="33"/>
      <c r="AW656" s="33">
        <f t="shared" si="96"/>
        <v>0</v>
      </c>
    </row>
    <row r="657" spans="3:49" ht="12.75" hidden="1">
      <c r="C657" s="5"/>
      <c r="D657" s="9"/>
      <c r="E657" s="294"/>
      <c r="F657" s="295"/>
      <c r="G657" s="9"/>
      <c r="H657" s="86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59">
        <f t="shared" si="91"/>
        <v>0</v>
      </c>
      <c r="U657" s="161">
        <f t="shared" si="82"/>
      </c>
      <c r="V657" s="162"/>
      <c r="W657" s="255"/>
      <c r="X657" s="32"/>
      <c r="Y657" s="32"/>
      <c r="Z657" s="32"/>
      <c r="AA657" s="32"/>
      <c r="AB657" s="32"/>
      <c r="AC657" s="32">
        <f t="shared" si="94"/>
        <v>0</v>
      </c>
      <c r="AD657" s="33"/>
      <c r="AE657" s="33">
        <f t="shared" si="95"/>
        <v>0</v>
      </c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R657" s="33"/>
      <c r="AT657" s="33"/>
      <c r="AU657" s="33"/>
      <c r="AV657" s="33"/>
      <c r="AW657" s="33">
        <f t="shared" si="96"/>
        <v>0</v>
      </c>
    </row>
    <row r="658" spans="3:49" ht="12.75" hidden="1">
      <c r="C658" s="5"/>
      <c r="D658" s="9"/>
      <c r="E658" s="294"/>
      <c r="F658" s="295"/>
      <c r="G658" s="9"/>
      <c r="H658" s="86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59">
        <f t="shared" si="91"/>
        <v>0</v>
      </c>
      <c r="U658" s="161">
        <f t="shared" si="82"/>
      </c>
      <c r="V658" s="162"/>
      <c r="W658" s="255"/>
      <c r="X658" s="32"/>
      <c r="Y658" s="32"/>
      <c r="Z658" s="32"/>
      <c r="AA658" s="32"/>
      <c r="AB658" s="32"/>
      <c r="AC658" s="32">
        <f t="shared" si="94"/>
        <v>0</v>
      </c>
      <c r="AD658" s="33"/>
      <c r="AE658" s="33">
        <f t="shared" si="95"/>
        <v>0</v>
      </c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R658" s="33"/>
      <c r="AS658" s="33"/>
      <c r="AT658" s="33"/>
      <c r="AU658" s="33"/>
      <c r="AV658" s="33"/>
      <c r="AW658" s="33">
        <f t="shared" si="96"/>
        <v>0</v>
      </c>
    </row>
    <row r="659" spans="3:49" ht="12.75" hidden="1">
      <c r="C659" s="5"/>
      <c r="D659" s="9"/>
      <c r="E659" s="294"/>
      <c r="F659" s="295"/>
      <c r="G659" s="9"/>
      <c r="H659" s="86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59">
        <f t="shared" si="91"/>
        <v>0</v>
      </c>
      <c r="U659" s="161">
        <f t="shared" si="82"/>
      </c>
      <c r="V659" s="162"/>
      <c r="W659" s="255"/>
      <c r="X659" s="32"/>
      <c r="Z659" s="32"/>
      <c r="AA659" s="32"/>
      <c r="AB659" s="32"/>
      <c r="AC659" s="32">
        <f t="shared" si="94"/>
        <v>0</v>
      </c>
      <c r="AD659" s="33"/>
      <c r="AE659" s="33">
        <f t="shared" si="95"/>
        <v>0</v>
      </c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R659" s="33"/>
      <c r="AS659" s="33"/>
      <c r="AT659" s="33"/>
      <c r="AU659" s="33"/>
      <c r="AV659" s="33"/>
      <c r="AW659" s="33">
        <f t="shared" si="96"/>
        <v>0</v>
      </c>
    </row>
    <row r="660" spans="3:49" ht="12.75" hidden="1">
      <c r="C660" s="5"/>
      <c r="D660" s="9"/>
      <c r="E660" s="294"/>
      <c r="F660" s="295"/>
      <c r="G660" s="9"/>
      <c r="H660" s="86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59">
        <f t="shared" si="91"/>
        <v>0</v>
      </c>
      <c r="U660" s="161">
        <f t="shared" si="82"/>
      </c>
      <c r="V660" s="162"/>
      <c r="W660" s="255"/>
      <c r="X660" s="32"/>
      <c r="Y660" s="32"/>
      <c r="Z660" s="32"/>
      <c r="AA660" s="32"/>
      <c r="AB660" s="32"/>
      <c r="AC660" s="32">
        <f t="shared" si="94"/>
        <v>0</v>
      </c>
      <c r="AD660" s="33"/>
      <c r="AE660" s="33">
        <f t="shared" si="95"/>
        <v>0</v>
      </c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R660" s="33"/>
      <c r="AS660" s="33"/>
      <c r="AT660" s="33"/>
      <c r="AU660" s="33"/>
      <c r="AV660" s="33"/>
      <c r="AW660" s="33">
        <f t="shared" si="96"/>
        <v>0</v>
      </c>
    </row>
    <row r="661" spans="3:49" ht="12.75" hidden="1">
      <c r="C661" s="5"/>
      <c r="D661" s="9"/>
      <c r="E661" s="294"/>
      <c r="F661" s="295"/>
      <c r="G661" s="22"/>
      <c r="H661" s="86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59">
        <f t="shared" si="91"/>
        <v>0</v>
      </c>
      <c r="U661" s="161">
        <f t="shared" si="82"/>
      </c>
      <c r="V661" s="162"/>
      <c r="W661" s="255"/>
      <c r="X661" s="32"/>
      <c r="Y661" s="32"/>
      <c r="Z661" s="32"/>
      <c r="AA661" s="32"/>
      <c r="AB661" s="32"/>
      <c r="AC661" s="32">
        <f t="shared" si="94"/>
        <v>0</v>
      </c>
      <c r="AD661" s="33"/>
      <c r="AE661" s="33">
        <f t="shared" si="95"/>
        <v>0</v>
      </c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>
        <f t="shared" si="96"/>
        <v>0</v>
      </c>
    </row>
    <row r="662" spans="3:49" ht="12.75" hidden="1">
      <c r="C662" s="5"/>
      <c r="D662" s="9"/>
      <c r="E662" s="294"/>
      <c r="F662" s="295"/>
      <c r="G662" s="9"/>
      <c r="H662" s="86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59">
        <f t="shared" si="91"/>
        <v>0</v>
      </c>
      <c r="U662" s="161">
        <f t="shared" si="82"/>
      </c>
      <c r="V662" s="162"/>
      <c r="W662" s="255"/>
      <c r="X662" s="32"/>
      <c r="Y662" s="32"/>
      <c r="Z662" s="32"/>
      <c r="AA662" s="32"/>
      <c r="AB662" s="32"/>
      <c r="AC662" s="32">
        <f t="shared" si="94"/>
        <v>0</v>
      </c>
      <c r="AD662" s="33"/>
      <c r="AE662" s="33">
        <f t="shared" si="95"/>
        <v>0</v>
      </c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>
        <f aca="true" t="shared" si="98" ref="AW662:AW669">SUM(AG662:AV662)</f>
        <v>0</v>
      </c>
    </row>
    <row r="663" spans="3:49" ht="12.75" hidden="1">
      <c r="C663" s="5"/>
      <c r="D663" s="9"/>
      <c r="E663" s="294"/>
      <c r="F663" s="295"/>
      <c r="G663" s="9"/>
      <c r="H663" s="86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59">
        <f t="shared" si="91"/>
        <v>0</v>
      </c>
      <c r="U663" s="161">
        <f t="shared" si="82"/>
      </c>
      <c r="V663" s="162"/>
      <c r="W663" s="255"/>
      <c r="X663" s="32"/>
      <c r="Y663" s="32"/>
      <c r="Z663" s="32"/>
      <c r="AA663" s="32"/>
      <c r="AB663" s="32"/>
      <c r="AC663" s="32">
        <f t="shared" si="94"/>
        <v>0</v>
      </c>
      <c r="AD663" s="33"/>
      <c r="AE663" s="33">
        <f t="shared" si="95"/>
        <v>0</v>
      </c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>
        <f t="shared" si="98"/>
        <v>0</v>
      </c>
    </row>
    <row r="664" spans="3:49" ht="12.75" hidden="1">
      <c r="C664" s="5"/>
      <c r="D664" s="9"/>
      <c r="E664" s="294"/>
      <c r="F664" s="295"/>
      <c r="G664" s="9"/>
      <c r="H664" s="86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59">
        <f t="shared" si="91"/>
        <v>0</v>
      </c>
      <c r="U664" s="161">
        <f t="shared" si="82"/>
      </c>
      <c r="V664" s="162"/>
      <c r="W664" s="255"/>
      <c r="X664" s="32"/>
      <c r="Y664" s="32"/>
      <c r="Z664" s="32"/>
      <c r="AA664" s="32"/>
      <c r="AB664" s="32"/>
      <c r="AC664" s="32">
        <f t="shared" si="94"/>
        <v>0</v>
      </c>
      <c r="AD664" s="33"/>
      <c r="AE664" s="33">
        <f t="shared" si="95"/>
        <v>0</v>
      </c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>
        <f t="shared" si="98"/>
        <v>0</v>
      </c>
    </row>
    <row r="665" spans="3:49" ht="12.75" hidden="1">
      <c r="C665" s="5"/>
      <c r="D665" s="9"/>
      <c r="E665" s="294"/>
      <c r="F665" s="295"/>
      <c r="G665" s="9"/>
      <c r="H665" s="86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59">
        <f t="shared" si="91"/>
        <v>0</v>
      </c>
      <c r="U665" s="161">
        <f t="shared" si="82"/>
      </c>
      <c r="V665" s="162"/>
      <c r="W665" s="255"/>
      <c r="X665" s="32"/>
      <c r="Y665" s="32"/>
      <c r="Z665" s="32"/>
      <c r="AA665" s="32"/>
      <c r="AB665" s="32"/>
      <c r="AC665" s="32">
        <f t="shared" si="94"/>
        <v>0</v>
      </c>
      <c r="AD665" s="33"/>
      <c r="AE665" s="33">
        <f t="shared" si="95"/>
        <v>0</v>
      </c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>
        <f t="shared" si="98"/>
        <v>0</v>
      </c>
    </row>
    <row r="666" spans="3:49" ht="12.75" hidden="1">
      <c r="C666" s="5"/>
      <c r="D666" s="9"/>
      <c r="E666" s="294"/>
      <c r="F666" s="295"/>
      <c r="G666" s="9"/>
      <c r="H666" s="86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59">
        <f t="shared" si="91"/>
        <v>0</v>
      </c>
      <c r="U666" s="161">
        <f t="shared" si="82"/>
      </c>
      <c r="V666" s="162"/>
      <c r="W666" s="255"/>
      <c r="X666" s="32"/>
      <c r="Y666" s="32"/>
      <c r="Z666" s="32"/>
      <c r="AA666" s="32"/>
      <c r="AB666" s="32"/>
      <c r="AC666" s="32">
        <f t="shared" si="94"/>
        <v>0</v>
      </c>
      <c r="AD666" s="33"/>
      <c r="AE666" s="33">
        <f t="shared" si="95"/>
        <v>0</v>
      </c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>
        <f t="shared" si="98"/>
        <v>0</v>
      </c>
    </row>
    <row r="667" spans="3:49" ht="12.75" hidden="1">
      <c r="C667" s="5"/>
      <c r="D667" s="9"/>
      <c r="E667" s="294"/>
      <c r="F667" s="295"/>
      <c r="G667" s="9"/>
      <c r="H667" s="86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59">
        <f t="shared" si="91"/>
        <v>0</v>
      </c>
      <c r="U667" s="161">
        <f t="shared" si="82"/>
      </c>
      <c r="V667" s="162"/>
      <c r="W667" s="255"/>
      <c r="X667" s="32"/>
      <c r="Y667" s="32"/>
      <c r="Z667" s="32"/>
      <c r="AA667" s="32"/>
      <c r="AB667" s="32"/>
      <c r="AC667" s="32">
        <f t="shared" si="94"/>
        <v>0</v>
      </c>
      <c r="AD667" s="33"/>
      <c r="AE667" s="33">
        <f t="shared" si="95"/>
        <v>0</v>
      </c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>
        <f t="shared" si="98"/>
        <v>0</v>
      </c>
    </row>
    <row r="668" spans="3:49" ht="12.75" hidden="1">
      <c r="C668" s="5"/>
      <c r="D668" s="9"/>
      <c r="E668" s="294"/>
      <c r="F668" s="295"/>
      <c r="G668" s="9"/>
      <c r="H668" s="86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59">
        <f t="shared" si="91"/>
        <v>0</v>
      </c>
      <c r="U668" s="161">
        <f t="shared" si="82"/>
      </c>
      <c r="V668" s="162"/>
      <c r="W668" s="255"/>
      <c r="X668" s="32"/>
      <c r="Y668" s="32"/>
      <c r="Z668" s="32"/>
      <c r="AA668" s="32"/>
      <c r="AB668" s="32"/>
      <c r="AC668" s="32">
        <f t="shared" si="94"/>
        <v>0</v>
      </c>
      <c r="AD668" s="33"/>
      <c r="AE668" s="33">
        <f t="shared" si="95"/>
        <v>0</v>
      </c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>
        <f t="shared" si="98"/>
        <v>0</v>
      </c>
    </row>
    <row r="669" spans="3:49" ht="13.5" thickBot="1">
      <c r="C669" s="5"/>
      <c r="D669" s="9"/>
      <c r="E669" s="294"/>
      <c r="F669" s="295"/>
      <c r="G669" s="9"/>
      <c r="H669" s="86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205"/>
      <c r="U669" s="161">
        <f t="shared" si="82"/>
      </c>
      <c r="V669" s="162"/>
      <c r="W669" s="255"/>
      <c r="X669" s="32"/>
      <c r="Y669" s="32"/>
      <c r="Z669" s="32"/>
      <c r="AA669" s="32"/>
      <c r="AB669" s="32"/>
      <c r="AC669" s="32"/>
      <c r="AD669" s="33"/>
      <c r="AE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>
        <f t="shared" si="98"/>
        <v>0</v>
      </c>
    </row>
    <row r="670" spans="3:49" ht="13.5" thickBot="1">
      <c r="C670" s="7" t="s">
        <v>295</v>
      </c>
      <c r="D670" s="21">
        <f>SUM(D633:D669)</f>
        <v>11.528</v>
      </c>
      <c r="E670" s="292"/>
      <c r="F670" s="293"/>
      <c r="G670" s="21">
        <f aca="true" t="shared" si="99" ref="G670:S670">SUM(G633:G669)</f>
        <v>0.122</v>
      </c>
      <c r="H670" s="166">
        <f t="shared" si="99"/>
        <v>0</v>
      </c>
      <c r="I670" s="167">
        <f t="shared" si="99"/>
        <v>0</v>
      </c>
      <c r="J670" s="167">
        <f t="shared" si="99"/>
        <v>0</v>
      </c>
      <c r="K670" s="167">
        <f t="shared" si="99"/>
        <v>0</v>
      </c>
      <c r="L670" s="167">
        <f t="shared" si="99"/>
        <v>0</v>
      </c>
      <c r="M670" s="167">
        <f t="shared" si="99"/>
        <v>0</v>
      </c>
      <c r="N670" s="167">
        <f t="shared" si="99"/>
        <v>0</v>
      </c>
      <c r="O670" s="167">
        <f t="shared" si="99"/>
        <v>0</v>
      </c>
      <c r="P670" s="167">
        <f t="shared" si="99"/>
        <v>0</v>
      </c>
      <c r="Q670" s="167">
        <f t="shared" si="99"/>
        <v>0</v>
      </c>
      <c r="R670" s="167">
        <f t="shared" si="99"/>
        <v>0</v>
      </c>
      <c r="S670" s="167">
        <f t="shared" si="99"/>
        <v>0</v>
      </c>
      <c r="T670" s="206">
        <f t="shared" si="91"/>
        <v>0.9606666666666667</v>
      </c>
      <c r="U670" s="161" t="str">
        <f t="shared" si="82"/>
        <v>adjust profile</v>
      </c>
      <c r="V670" s="162"/>
      <c r="W670" s="255"/>
      <c r="X670" s="26">
        <f aca="true" t="shared" si="100" ref="X670:AE670">SUM(X633:X669)</f>
        <v>0</v>
      </c>
      <c r="Y670" s="26">
        <f t="shared" si="100"/>
        <v>0</v>
      </c>
      <c r="Z670" s="26">
        <f t="shared" si="100"/>
        <v>6</v>
      </c>
      <c r="AA670" s="26">
        <f t="shared" si="100"/>
        <v>0</v>
      </c>
      <c r="AB670" s="26">
        <f t="shared" si="100"/>
        <v>0.909</v>
      </c>
      <c r="AC670" s="26">
        <f t="shared" si="100"/>
        <v>4.569</v>
      </c>
      <c r="AD670" s="26">
        <f t="shared" si="100"/>
        <v>0.05</v>
      </c>
      <c r="AE670" s="26">
        <f t="shared" si="100"/>
        <v>11.528</v>
      </c>
      <c r="AG670" s="26">
        <f aca="true" t="shared" si="101" ref="AG670:AW670">SUM(AG633:AG669)</f>
        <v>0</v>
      </c>
      <c r="AH670" s="26">
        <f t="shared" si="101"/>
        <v>0</v>
      </c>
      <c r="AI670" s="26">
        <f t="shared" si="101"/>
        <v>0</v>
      </c>
      <c r="AJ670" s="26">
        <f t="shared" si="101"/>
        <v>0</v>
      </c>
      <c r="AK670" s="26">
        <f t="shared" si="101"/>
        <v>0</v>
      </c>
      <c r="AL670" s="26">
        <f t="shared" si="101"/>
        <v>0</v>
      </c>
      <c r="AM670" s="26">
        <f t="shared" si="101"/>
        <v>0</v>
      </c>
      <c r="AN670" s="26">
        <f t="shared" si="101"/>
        <v>0</v>
      </c>
      <c r="AO670" s="26">
        <f t="shared" si="101"/>
        <v>0</v>
      </c>
      <c r="AP670" s="26">
        <f t="shared" si="101"/>
        <v>2.125</v>
      </c>
      <c r="AQ670" s="26">
        <f t="shared" si="101"/>
        <v>2.093</v>
      </c>
      <c r="AR670" s="26">
        <f t="shared" si="101"/>
        <v>0</v>
      </c>
      <c r="AS670" s="26">
        <f t="shared" si="101"/>
        <v>0</v>
      </c>
      <c r="AT670" s="26">
        <f t="shared" si="101"/>
        <v>0</v>
      </c>
      <c r="AU670" s="26">
        <f t="shared" si="101"/>
        <v>0</v>
      </c>
      <c r="AV670" s="26">
        <f t="shared" si="101"/>
        <v>0.351</v>
      </c>
      <c r="AW670" s="26">
        <f t="shared" si="101"/>
        <v>4.569</v>
      </c>
    </row>
    <row r="671" spans="3:49" ht="12.75">
      <c r="C671" s="5"/>
      <c r="D671" s="5"/>
      <c r="E671" s="282"/>
      <c r="F671" s="284"/>
      <c r="G671" s="9"/>
      <c r="H671" s="86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59"/>
      <c r="U671" s="161">
        <f t="shared" si="82"/>
      </c>
      <c r="V671" s="162"/>
      <c r="W671" s="255"/>
      <c r="X671" s="32"/>
      <c r="Y671" s="32"/>
      <c r="Z671" s="32"/>
      <c r="AA671" s="32"/>
      <c r="AB671" s="32"/>
      <c r="AC671" s="32"/>
      <c r="AD671" s="33"/>
      <c r="AE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</row>
    <row r="672" spans="3:49" ht="12.75">
      <c r="C672" s="7" t="s">
        <v>349</v>
      </c>
      <c r="D672" s="5"/>
      <c r="E672" s="282"/>
      <c r="F672" s="284"/>
      <c r="G672" s="9"/>
      <c r="H672" s="86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59"/>
      <c r="U672" s="161">
        <f t="shared" si="82"/>
      </c>
      <c r="V672" s="162"/>
      <c r="W672" s="255"/>
      <c r="X672" s="32"/>
      <c r="Y672" s="32"/>
      <c r="Z672" s="32"/>
      <c r="AA672" s="32"/>
      <c r="AB672" s="32"/>
      <c r="AC672" s="32"/>
      <c r="AD672" s="33"/>
      <c r="AE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</row>
    <row r="673" spans="3:49" ht="12.75">
      <c r="C673" s="47" t="s">
        <v>160</v>
      </c>
      <c r="D673" s="182">
        <v>2.429</v>
      </c>
      <c r="E673" s="294"/>
      <c r="F673" s="295"/>
      <c r="G673" s="9"/>
      <c r="H673" s="86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59">
        <f>D673/12*2</f>
        <v>0.4048333333333333</v>
      </c>
      <c r="U673" s="161" t="str">
        <f aca="true" t="shared" si="102" ref="U673:U678">IF(SUM(H673:S673)-D673=0,"","adjust profile")</f>
        <v>adjust profile</v>
      </c>
      <c r="V673" s="162"/>
      <c r="W673" s="255"/>
      <c r="X673" s="32"/>
      <c r="Y673" s="32"/>
      <c r="Z673" s="32">
        <v>0.667</v>
      </c>
      <c r="AA673" s="32"/>
      <c r="AB673" s="32">
        <v>0.038</v>
      </c>
      <c r="AC673" s="32">
        <f aca="true" t="shared" si="103" ref="AC673:AC701">SUM(AG673:AV673)</f>
        <v>1.724</v>
      </c>
      <c r="AD673" s="33"/>
      <c r="AE673" s="33">
        <f aca="true" t="shared" si="104" ref="AE673:AE706">SUM(X673:AD673)</f>
        <v>2.4290000000000003</v>
      </c>
      <c r="AG673" s="33"/>
      <c r="AH673" s="33"/>
      <c r="AI673" s="33"/>
      <c r="AJ673" s="33"/>
      <c r="AK673" s="33"/>
      <c r="AL673" s="33"/>
      <c r="AM673" s="33"/>
      <c r="AN673" s="33"/>
      <c r="AO673" s="33"/>
      <c r="AP673" s="33">
        <v>1</v>
      </c>
      <c r="AQ673" s="33"/>
      <c r="AR673" s="33"/>
      <c r="AS673" s="33">
        <v>0.724</v>
      </c>
      <c r="AT673" s="33"/>
      <c r="AU673" s="33"/>
      <c r="AV673" s="33"/>
      <c r="AW673" s="33">
        <f aca="true" t="shared" si="105" ref="AW673:AW682">SUM(AG673:AV673)</f>
        <v>1.724</v>
      </c>
    </row>
    <row r="674" spans="2:50" ht="12.75">
      <c r="B674" s="23"/>
      <c r="C674" s="47" t="s">
        <v>164</v>
      </c>
      <c r="D674" s="182">
        <v>0.575</v>
      </c>
      <c r="E674" s="285"/>
      <c r="F674" s="285"/>
      <c r="G674" s="22"/>
      <c r="H674" s="86"/>
      <c r="I674" s="12"/>
      <c r="J674" s="12">
        <v>0.074</v>
      </c>
      <c r="K674" s="12">
        <v>0.074</v>
      </c>
      <c r="L674" s="12">
        <v>0.075</v>
      </c>
      <c r="M674" s="12">
        <v>0.113</v>
      </c>
      <c r="N674" s="12">
        <v>0.113</v>
      </c>
      <c r="O674" s="12">
        <v>0.113</v>
      </c>
      <c r="P674" s="12"/>
      <c r="Q674" s="12"/>
      <c r="R674" s="12"/>
      <c r="S674" s="12">
        <v>0.013</v>
      </c>
      <c r="T674" s="159">
        <f>SUM(H674:I674)</f>
        <v>0</v>
      </c>
      <c r="U674" s="161">
        <f t="shared" si="102"/>
      </c>
      <c r="V674" s="162"/>
      <c r="W674" s="255">
        <v>38460</v>
      </c>
      <c r="X674" s="32"/>
      <c r="Y674" s="32"/>
      <c r="Z674" s="32"/>
      <c r="AA674" s="32"/>
      <c r="AB674" s="32">
        <v>0.25</v>
      </c>
      <c r="AC674" s="32">
        <f t="shared" si="103"/>
        <v>0</v>
      </c>
      <c r="AD674" s="33">
        <f>0.25+0.075</f>
        <v>0.325</v>
      </c>
      <c r="AE674" s="33">
        <f t="shared" si="104"/>
        <v>0.575</v>
      </c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>
        <f t="shared" si="105"/>
        <v>0</v>
      </c>
      <c r="AX674" s="29" t="s">
        <v>334</v>
      </c>
    </row>
    <row r="675" spans="2:49" ht="12.75">
      <c r="B675" s="23"/>
      <c r="C675" s="47" t="s">
        <v>165</v>
      </c>
      <c r="D675" s="182">
        <v>0.8</v>
      </c>
      <c r="E675" s="285"/>
      <c r="F675" s="285"/>
      <c r="G675" s="22"/>
      <c r="H675" s="86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59">
        <f>D675/12*2</f>
        <v>0.13333333333333333</v>
      </c>
      <c r="U675" s="161" t="str">
        <f t="shared" si="102"/>
        <v>adjust profile</v>
      </c>
      <c r="V675" s="162"/>
      <c r="W675" s="255"/>
      <c r="X675" s="32"/>
      <c r="Y675" s="32"/>
      <c r="Z675" s="32"/>
      <c r="AA675" s="32"/>
      <c r="AB675" s="32">
        <v>0.7</v>
      </c>
      <c r="AC675" s="32">
        <f t="shared" si="103"/>
        <v>0</v>
      </c>
      <c r="AD675" s="33">
        <v>0.1</v>
      </c>
      <c r="AE675" s="33">
        <f t="shared" si="104"/>
        <v>0.7999999999999999</v>
      </c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>
        <f t="shared" si="105"/>
        <v>0</v>
      </c>
    </row>
    <row r="676" spans="2:49" ht="12.75">
      <c r="B676" s="23" t="s">
        <v>212</v>
      </c>
      <c r="C676" s="47" t="s">
        <v>168</v>
      </c>
      <c r="D676" s="182">
        <v>6.81</v>
      </c>
      <c r="E676" s="285"/>
      <c r="F676" s="285"/>
      <c r="G676" s="22">
        <v>0.767</v>
      </c>
      <c r="H676" s="86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59">
        <f aca="true" t="shared" si="106" ref="T676:T725">D676/12*2</f>
        <v>1.135</v>
      </c>
      <c r="U676" s="161" t="str">
        <f t="shared" si="102"/>
        <v>adjust profile</v>
      </c>
      <c r="V676" s="162"/>
      <c r="W676" s="255"/>
      <c r="X676" s="32"/>
      <c r="Y676" s="32"/>
      <c r="Z676" s="32">
        <v>6.81</v>
      </c>
      <c r="AA676" s="32"/>
      <c r="AB676" s="32"/>
      <c r="AC676" s="32">
        <f t="shared" si="103"/>
        <v>0</v>
      </c>
      <c r="AD676" s="33"/>
      <c r="AE676" s="33">
        <f t="shared" si="104"/>
        <v>6.81</v>
      </c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>
        <f t="shared" si="105"/>
        <v>0</v>
      </c>
    </row>
    <row r="677" spans="2:49" ht="12.75">
      <c r="B677" s="23"/>
      <c r="C677" s="47" t="s">
        <v>162</v>
      </c>
      <c r="D677" s="182">
        <v>0.589</v>
      </c>
      <c r="E677" s="285"/>
      <c r="F677" s="285"/>
      <c r="G677" s="22">
        <v>0.001</v>
      </c>
      <c r="H677" s="86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59">
        <f t="shared" si="106"/>
        <v>0.09816666666666667</v>
      </c>
      <c r="U677" s="161" t="str">
        <f t="shared" si="102"/>
        <v>adjust profile</v>
      </c>
      <c r="V677" s="162"/>
      <c r="W677" s="255"/>
      <c r="X677" s="32"/>
      <c r="Y677" s="32"/>
      <c r="Z677" s="32"/>
      <c r="AA677" s="32"/>
      <c r="AB677" s="32">
        <v>0.589</v>
      </c>
      <c r="AC677" s="32">
        <f t="shared" si="103"/>
        <v>0</v>
      </c>
      <c r="AD677" s="33"/>
      <c r="AE677" s="33">
        <f t="shared" si="104"/>
        <v>0.589</v>
      </c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>
        <f t="shared" si="105"/>
        <v>0</v>
      </c>
    </row>
    <row r="678" spans="2:50" ht="12.75">
      <c r="B678" s="23" t="s">
        <v>1171</v>
      </c>
      <c r="C678" s="47" t="s">
        <v>161</v>
      </c>
      <c r="D678" s="182">
        <f>0.277+0.118</f>
        <v>0.395</v>
      </c>
      <c r="E678" s="285"/>
      <c r="F678" s="285"/>
      <c r="G678" s="22">
        <v>0.038</v>
      </c>
      <c r="H678" s="86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59">
        <f t="shared" si="106"/>
        <v>0.06583333333333334</v>
      </c>
      <c r="U678" s="161" t="str">
        <f t="shared" si="102"/>
        <v>adjust profile</v>
      </c>
      <c r="V678" s="162"/>
      <c r="W678" s="255"/>
      <c r="X678" s="32"/>
      <c r="Y678" s="32"/>
      <c r="Z678" s="32"/>
      <c r="AA678" s="32">
        <v>0.034</v>
      </c>
      <c r="AB678" s="32">
        <v>0.172</v>
      </c>
      <c r="AC678" s="32">
        <f t="shared" si="103"/>
        <v>0.174</v>
      </c>
      <c r="AD678" s="33">
        <v>0.015</v>
      </c>
      <c r="AE678" s="33">
        <f t="shared" si="104"/>
        <v>0.395</v>
      </c>
      <c r="AG678" s="33"/>
      <c r="AH678" s="33"/>
      <c r="AI678" s="33"/>
      <c r="AJ678" s="33">
        <v>0.174</v>
      </c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>
        <f t="shared" si="105"/>
        <v>0.174</v>
      </c>
      <c r="AX678" s="29" t="s">
        <v>335</v>
      </c>
    </row>
    <row r="679" spans="2:50" ht="12.75">
      <c r="B679" s="23"/>
      <c r="C679" s="193" t="s">
        <v>133</v>
      </c>
      <c r="D679" s="182">
        <v>0.103</v>
      </c>
      <c r="E679" s="285"/>
      <c r="F679" s="285"/>
      <c r="G679" s="22"/>
      <c r="H679" s="86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59">
        <f t="shared" si="106"/>
        <v>0.017166666666666667</v>
      </c>
      <c r="U679" s="161" t="str">
        <f aca="true" t="shared" si="107" ref="U679:U723">IF(SUM(H679:S679)-D679=0,"","adjust profile")</f>
        <v>adjust profile</v>
      </c>
      <c r="V679" s="162"/>
      <c r="W679" s="255"/>
      <c r="X679" s="32"/>
      <c r="Y679" s="32"/>
      <c r="Z679" s="32"/>
      <c r="AA679" s="32"/>
      <c r="AB679" s="32"/>
      <c r="AC679" s="32">
        <f>SUM(AG679:AV679)</f>
        <v>0.10300000000000001</v>
      </c>
      <c r="AD679" s="33"/>
      <c r="AE679" s="33">
        <f t="shared" si="104"/>
        <v>0.10300000000000001</v>
      </c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>
        <v>0.1</v>
      </c>
      <c r="AT679" s="33"/>
      <c r="AU679" s="33"/>
      <c r="AV679" s="33">
        <v>0.003</v>
      </c>
      <c r="AW679" s="33">
        <f>SUM(AG679:AV679)</f>
        <v>0.10300000000000001</v>
      </c>
      <c r="AX679" s="29" t="s">
        <v>397</v>
      </c>
    </row>
    <row r="680" spans="2:49" ht="12.75">
      <c r="B680" s="176"/>
      <c r="C680" s="47" t="s">
        <v>167</v>
      </c>
      <c r="D680" s="182">
        <v>0.1</v>
      </c>
      <c r="E680" s="285"/>
      <c r="F680" s="285"/>
      <c r="G680" s="22"/>
      <c r="H680" s="86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59">
        <f t="shared" si="106"/>
        <v>0.016666666666666666</v>
      </c>
      <c r="U680" s="161" t="str">
        <f t="shared" si="107"/>
        <v>adjust profile</v>
      </c>
      <c r="V680" s="162"/>
      <c r="W680" s="255"/>
      <c r="X680" s="32"/>
      <c r="Y680" s="32"/>
      <c r="Z680" s="32"/>
      <c r="AA680" s="32"/>
      <c r="AB680" s="29">
        <v>0.1</v>
      </c>
      <c r="AC680" s="32">
        <f t="shared" si="103"/>
        <v>0</v>
      </c>
      <c r="AD680" s="33"/>
      <c r="AE680" s="33">
        <f t="shared" si="104"/>
        <v>0.1</v>
      </c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>
        <f t="shared" si="105"/>
        <v>0</v>
      </c>
    </row>
    <row r="681" spans="2:49" ht="12.75">
      <c r="B681" s="23"/>
      <c r="C681" s="47" t="s">
        <v>166</v>
      </c>
      <c r="D681" s="182">
        <f>0.25+0.04+0.049</f>
        <v>0.33899999999999997</v>
      </c>
      <c r="E681" s="285"/>
      <c r="F681" s="285"/>
      <c r="G681" s="22"/>
      <c r="H681" s="86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59">
        <f t="shared" si="106"/>
        <v>0.056499999999999995</v>
      </c>
      <c r="U681" s="161" t="str">
        <f t="shared" si="107"/>
        <v>adjust profile</v>
      </c>
      <c r="V681" s="162"/>
      <c r="W681" s="255"/>
      <c r="X681" s="32"/>
      <c r="Y681" s="32"/>
      <c r="Z681" s="32"/>
      <c r="AA681" s="32"/>
      <c r="AB681" s="32">
        <f>0.25+0.04+0.049</f>
        <v>0.33899999999999997</v>
      </c>
      <c r="AC681" s="32">
        <f t="shared" si="103"/>
        <v>0</v>
      </c>
      <c r="AD681" s="33"/>
      <c r="AE681" s="33">
        <f t="shared" si="104"/>
        <v>0.33899999999999997</v>
      </c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>
        <f t="shared" si="105"/>
        <v>0</v>
      </c>
    </row>
    <row r="682" spans="2:49" ht="12.75">
      <c r="B682" s="23"/>
      <c r="C682" s="47" t="s">
        <v>163</v>
      </c>
      <c r="D682" s="182">
        <v>0.1</v>
      </c>
      <c r="E682" s="285"/>
      <c r="F682" s="285"/>
      <c r="G682" s="22"/>
      <c r="H682" s="86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59">
        <f t="shared" si="106"/>
        <v>0.016666666666666666</v>
      </c>
      <c r="U682" s="161" t="str">
        <f t="shared" si="107"/>
        <v>adjust profile</v>
      </c>
      <c r="V682" s="162"/>
      <c r="W682" s="255"/>
      <c r="X682" s="32"/>
      <c r="Y682" s="32"/>
      <c r="Z682" s="32"/>
      <c r="AA682" s="32"/>
      <c r="AB682" s="32">
        <f>0.1-0.1</f>
        <v>0</v>
      </c>
      <c r="AC682" s="32">
        <f t="shared" si="103"/>
        <v>0.1</v>
      </c>
      <c r="AD682" s="33"/>
      <c r="AE682" s="33">
        <f t="shared" si="104"/>
        <v>0.1</v>
      </c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>
        <v>0.1</v>
      </c>
      <c r="AW682" s="33">
        <f t="shared" si="105"/>
        <v>0.1</v>
      </c>
    </row>
    <row r="683" spans="2:49" ht="12.75" hidden="1">
      <c r="B683" s="185" t="s">
        <v>1200</v>
      </c>
      <c r="C683" s="79"/>
      <c r="D683" s="22"/>
      <c r="E683" s="285"/>
      <c r="F683" s="285"/>
      <c r="G683" s="22"/>
      <c r="H683" s="86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59">
        <f t="shared" si="106"/>
        <v>0</v>
      </c>
      <c r="U683" s="161">
        <f t="shared" si="107"/>
      </c>
      <c r="V683" s="162"/>
      <c r="W683" s="255"/>
      <c r="X683" s="32"/>
      <c r="Y683" s="32"/>
      <c r="Z683" s="32"/>
      <c r="AA683" s="32"/>
      <c r="AB683" s="32"/>
      <c r="AC683" s="32">
        <f t="shared" si="103"/>
        <v>0</v>
      </c>
      <c r="AD683" s="33"/>
      <c r="AE683" s="33">
        <f t="shared" si="104"/>
        <v>0</v>
      </c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</row>
    <row r="684" spans="2:49" ht="12.75" hidden="1">
      <c r="B684" s="185" t="s">
        <v>1201</v>
      </c>
      <c r="C684" s="79"/>
      <c r="D684" s="22"/>
      <c r="E684" s="285"/>
      <c r="F684" s="285"/>
      <c r="G684" s="22">
        <v>0.003</v>
      </c>
      <c r="H684" s="86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59">
        <f t="shared" si="106"/>
        <v>0</v>
      </c>
      <c r="U684" s="161">
        <f t="shared" si="107"/>
      </c>
      <c r="V684" s="162"/>
      <c r="W684" s="255"/>
      <c r="X684" s="32"/>
      <c r="Y684" s="32"/>
      <c r="Z684" s="32"/>
      <c r="AA684" s="32"/>
      <c r="AB684" s="32"/>
      <c r="AC684" s="32">
        <f t="shared" si="103"/>
        <v>0</v>
      </c>
      <c r="AD684" s="33"/>
      <c r="AE684" s="33">
        <f t="shared" si="104"/>
        <v>0</v>
      </c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</row>
    <row r="685" spans="2:49" ht="12.75" hidden="1">
      <c r="B685" s="185" t="s">
        <v>1202</v>
      </c>
      <c r="C685" s="79"/>
      <c r="D685" s="22"/>
      <c r="E685" s="285"/>
      <c r="F685" s="285"/>
      <c r="G685" s="22">
        <v>0.01</v>
      </c>
      <c r="H685" s="86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59">
        <f t="shared" si="106"/>
        <v>0</v>
      </c>
      <c r="U685" s="161">
        <f t="shared" si="107"/>
      </c>
      <c r="V685" s="162"/>
      <c r="W685" s="255"/>
      <c r="X685" s="32"/>
      <c r="Y685" s="32"/>
      <c r="Z685" s="32"/>
      <c r="AA685" s="32"/>
      <c r="AB685" s="32"/>
      <c r="AC685" s="32">
        <f t="shared" si="103"/>
        <v>0</v>
      </c>
      <c r="AD685" s="33">
        <f>0.08-0.08</f>
        <v>0</v>
      </c>
      <c r="AE685" s="33">
        <f t="shared" si="104"/>
        <v>0</v>
      </c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</row>
    <row r="686" spans="2:49" ht="12.75" hidden="1">
      <c r="B686" s="185" t="s">
        <v>1203</v>
      </c>
      <c r="C686" s="79"/>
      <c r="D686" s="22"/>
      <c r="E686" s="285"/>
      <c r="F686" s="285"/>
      <c r="G686" s="22"/>
      <c r="H686" s="86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59">
        <f t="shared" si="106"/>
        <v>0</v>
      </c>
      <c r="U686" s="161">
        <f t="shared" si="107"/>
      </c>
      <c r="V686" s="162"/>
      <c r="W686" s="255"/>
      <c r="X686" s="32"/>
      <c r="Y686" s="32"/>
      <c r="Z686" s="32"/>
      <c r="AA686" s="32"/>
      <c r="AB686" s="32"/>
      <c r="AC686" s="32">
        <f t="shared" si="103"/>
        <v>0</v>
      </c>
      <c r="AD686" s="33"/>
      <c r="AE686" s="33">
        <f t="shared" si="104"/>
        <v>0</v>
      </c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</row>
    <row r="687" spans="2:49" ht="12.75" hidden="1">
      <c r="B687" s="185" t="s">
        <v>1204</v>
      </c>
      <c r="C687" s="138"/>
      <c r="D687" s="22"/>
      <c r="E687" s="285"/>
      <c r="F687" s="285"/>
      <c r="G687" s="22">
        <v>0.003</v>
      </c>
      <c r="H687" s="86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59">
        <f t="shared" si="106"/>
        <v>0</v>
      </c>
      <c r="U687" s="161">
        <f t="shared" si="107"/>
      </c>
      <c r="V687" s="162"/>
      <c r="W687" s="255"/>
      <c r="X687" s="32"/>
      <c r="Y687" s="32"/>
      <c r="Z687" s="32"/>
      <c r="AA687" s="32"/>
      <c r="AB687" s="32"/>
      <c r="AC687" s="32">
        <f t="shared" si="103"/>
        <v>0</v>
      </c>
      <c r="AD687" s="33"/>
      <c r="AE687" s="33">
        <f t="shared" si="104"/>
        <v>0</v>
      </c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>
        <f>SUM(AG687:AV687)</f>
        <v>0</v>
      </c>
    </row>
    <row r="688" spans="2:49" ht="12.75" hidden="1">
      <c r="B688" s="185" t="s">
        <v>1205</v>
      </c>
      <c r="C688" s="79"/>
      <c r="D688" s="22"/>
      <c r="E688" s="285"/>
      <c r="F688" s="285"/>
      <c r="G688" s="22"/>
      <c r="H688" s="86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59">
        <f t="shared" si="106"/>
        <v>0</v>
      </c>
      <c r="U688" s="161">
        <f t="shared" si="107"/>
      </c>
      <c r="V688" s="162"/>
      <c r="W688" s="255"/>
      <c r="X688" s="32"/>
      <c r="Y688" s="32"/>
      <c r="Z688" s="32"/>
      <c r="AA688" s="32"/>
      <c r="AB688" s="32"/>
      <c r="AC688" s="32">
        <f t="shared" si="103"/>
        <v>0</v>
      </c>
      <c r="AD688" s="33"/>
      <c r="AE688" s="33">
        <f t="shared" si="104"/>
        <v>0</v>
      </c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</row>
    <row r="689" spans="2:49" ht="12.75" hidden="1">
      <c r="B689" s="185" t="s">
        <v>1206</v>
      </c>
      <c r="C689" s="79"/>
      <c r="D689" s="22"/>
      <c r="E689" s="285"/>
      <c r="F689" s="285"/>
      <c r="G689" s="22">
        <v>0.002</v>
      </c>
      <c r="H689" s="86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59">
        <f t="shared" si="106"/>
        <v>0</v>
      </c>
      <c r="U689" s="161">
        <f t="shared" si="107"/>
      </c>
      <c r="V689" s="162"/>
      <c r="W689" s="255"/>
      <c r="X689" s="32"/>
      <c r="Y689" s="32"/>
      <c r="Z689" s="32"/>
      <c r="AA689" s="32"/>
      <c r="AB689" s="32"/>
      <c r="AC689" s="32">
        <f t="shared" si="103"/>
        <v>0</v>
      </c>
      <c r="AD689" s="33"/>
      <c r="AE689" s="33">
        <f t="shared" si="104"/>
        <v>0</v>
      </c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</row>
    <row r="690" spans="2:49" ht="12.75" hidden="1">
      <c r="B690" s="185" t="s">
        <v>1207</v>
      </c>
      <c r="C690" s="79"/>
      <c r="D690" s="22"/>
      <c r="E690" s="285"/>
      <c r="F690" s="285"/>
      <c r="G690" s="22">
        <v>0.024</v>
      </c>
      <c r="H690" s="86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59">
        <f t="shared" si="106"/>
        <v>0</v>
      </c>
      <c r="U690" s="161">
        <f t="shared" si="107"/>
      </c>
      <c r="V690" s="162"/>
      <c r="W690" s="255"/>
      <c r="X690" s="32"/>
      <c r="Y690" s="32"/>
      <c r="Z690" s="32"/>
      <c r="AA690" s="32"/>
      <c r="AB690" s="32"/>
      <c r="AC690" s="32">
        <f t="shared" si="103"/>
        <v>0</v>
      </c>
      <c r="AD690" s="33"/>
      <c r="AE690" s="33">
        <f t="shared" si="104"/>
        <v>0</v>
      </c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</row>
    <row r="691" spans="2:49" ht="12.75" hidden="1">
      <c r="B691" s="185" t="s">
        <v>1208</v>
      </c>
      <c r="C691" s="138"/>
      <c r="D691" s="22"/>
      <c r="E691" s="285"/>
      <c r="F691" s="285"/>
      <c r="G691" s="22"/>
      <c r="H691" s="86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59">
        <f t="shared" si="106"/>
        <v>0</v>
      </c>
      <c r="U691" s="161">
        <f t="shared" si="107"/>
      </c>
      <c r="V691" s="162"/>
      <c r="W691" s="255"/>
      <c r="X691" s="32"/>
      <c r="Y691" s="32"/>
      <c r="Z691" s="32"/>
      <c r="AA691" s="32"/>
      <c r="AB691" s="32">
        <f>D691</f>
        <v>0</v>
      </c>
      <c r="AC691" s="32">
        <f t="shared" si="103"/>
        <v>0</v>
      </c>
      <c r="AD691" s="33"/>
      <c r="AE691" s="33">
        <f t="shared" si="104"/>
        <v>0</v>
      </c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</row>
    <row r="692" spans="2:49" ht="12.75" hidden="1">
      <c r="B692" s="185" t="s">
        <v>1209</v>
      </c>
      <c r="C692" s="79"/>
      <c r="D692" s="22"/>
      <c r="E692" s="285"/>
      <c r="F692" s="285"/>
      <c r="G692" s="22">
        <v>0.002</v>
      </c>
      <c r="H692" s="86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59">
        <f t="shared" si="106"/>
        <v>0</v>
      </c>
      <c r="U692" s="161">
        <f t="shared" si="107"/>
      </c>
      <c r="V692" s="162"/>
      <c r="W692" s="255"/>
      <c r="X692" s="32"/>
      <c r="Y692" s="32"/>
      <c r="Z692" s="32"/>
      <c r="AA692" s="32"/>
      <c r="AB692" s="32"/>
      <c r="AC692" s="32">
        <f t="shared" si="103"/>
        <v>0</v>
      </c>
      <c r="AD692" s="33"/>
      <c r="AE692" s="33">
        <f t="shared" si="104"/>
        <v>0</v>
      </c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</row>
    <row r="693" spans="2:49" ht="12.75" hidden="1">
      <c r="B693" s="185" t="s">
        <v>1210</v>
      </c>
      <c r="C693" s="79"/>
      <c r="D693" s="22"/>
      <c r="E693" s="285"/>
      <c r="F693" s="285"/>
      <c r="G693" s="22"/>
      <c r="H693" s="86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59">
        <f t="shared" si="106"/>
        <v>0</v>
      </c>
      <c r="U693" s="161">
        <f t="shared" si="107"/>
      </c>
      <c r="V693" s="162"/>
      <c r="W693" s="255"/>
      <c r="X693" s="32"/>
      <c r="Y693" s="32"/>
      <c r="Z693" s="32"/>
      <c r="AA693" s="32"/>
      <c r="AB693" s="32"/>
      <c r="AC693" s="32">
        <f t="shared" si="103"/>
        <v>0</v>
      </c>
      <c r="AD693" s="33"/>
      <c r="AE693" s="33">
        <f t="shared" si="104"/>
        <v>0</v>
      </c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</row>
    <row r="694" spans="2:49" ht="12.75" hidden="1">
      <c r="B694" s="185" t="s">
        <v>1211</v>
      </c>
      <c r="C694" s="79"/>
      <c r="D694" s="22"/>
      <c r="E694" s="294"/>
      <c r="F694" s="295"/>
      <c r="G694" s="22"/>
      <c r="H694" s="86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59">
        <f t="shared" si="106"/>
        <v>0</v>
      </c>
      <c r="U694" s="161">
        <f t="shared" si="107"/>
      </c>
      <c r="V694" s="162"/>
      <c r="W694" s="255"/>
      <c r="X694" s="32"/>
      <c r="Y694" s="32"/>
      <c r="Z694" s="32"/>
      <c r="AA694" s="32"/>
      <c r="AB694" s="32"/>
      <c r="AC694" s="32">
        <f t="shared" si="103"/>
        <v>0</v>
      </c>
      <c r="AD694" s="33"/>
      <c r="AE694" s="33">
        <f t="shared" si="104"/>
        <v>0</v>
      </c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>
        <f>SUM(AG694:AV694)</f>
        <v>0</v>
      </c>
    </row>
    <row r="695" spans="2:49" ht="12.75" hidden="1">
      <c r="B695" s="185" t="s">
        <v>1212</v>
      </c>
      <c r="C695" s="79"/>
      <c r="D695" s="22"/>
      <c r="E695" s="294"/>
      <c r="F695" s="295"/>
      <c r="G695" s="22">
        <v>0.002</v>
      </c>
      <c r="H695" s="86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59">
        <f t="shared" si="106"/>
        <v>0</v>
      </c>
      <c r="U695" s="161">
        <f t="shared" si="107"/>
      </c>
      <c r="V695" s="162"/>
      <c r="W695" s="255"/>
      <c r="X695" s="32"/>
      <c r="Y695" s="32"/>
      <c r="Z695" s="32"/>
      <c r="AA695" s="32"/>
      <c r="AB695" s="32"/>
      <c r="AC695" s="32">
        <f t="shared" si="103"/>
        <v>0</v>
      </c>
      <c r="AD695" s="33"/>
      <c r="AE695" s="33">
        <f t="shared" si="104"/>
        <v>0</v>
      </c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</row>
    <row r="696" spans="2:49" ht="12.75" hidden="1">
      <c r="B696" s="185" t="s">
        <v>1213</v>
      </c>
      <c r="C696" s="79"/>
      <c r="D696" s="22"/>
      <c r="E696" s="294"/>
      <c r="F696" s="295"/>
      <c r="G696" s="22">
        <v>0.001</v>
      </c>
      <c r="H696" s="86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59">
        <f t="shared" si="106"/>
        <v>0</v>
      </c>
      <c r="U696" s="161">
        <f t="shared" si="107"/>
      </c>
      <c r="V696" s="162"/>
      <c r="W696" s="255"/>
      <c r="X696" s="32"/>
      <c r="Y696" s="32"/>
      <c r="Z696" s="32"/>
      <c r="AA696" s="32"/>
      <c r="AB696" s="32"/>
      <c r="AC696" s="32">
        <f t="shared" si="103"/>
        <v>0</v>
      </c>
      <c r="AD696" s="33"/>
      <c r="AE696" s="33">
        <f t="shared" si="104"/>
        <v>0</v>
      </c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>
        <f>SUM(AG696:AV696)</f>
        <v>0</v>
      </c>
    </row>
    <row r="697" spans="2:49" ht="12.75" hidden="1">
      <c r="B697" s="185" t="s">
        <v>1214</v>
      </c>
      <c r="C697" s="79"/>
      <c r="D697" s="22"/>
      <c r="E697" s="148"/>
      <c r="F697" s="148"/>
      <c r="G697" s="22"/>
      <c r="H697" s="86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59">
        <f t="shared" si="106"/>
        <v>0</v>
      </c>
      <c r="U697" s="161">
        <f t="shared" si="107"/>
      </c>
      <c r="V697" s="162"/>
      <c r="W697" s="255"/>
      <c r="X697" s="32"/>
      <c r="Y697" s="32"/>
      <c r="Z697" s="32"/>
      <c r="AA697" s="32"/>
      <c r="AB697" s="32"/>
      <c r="AC697" s="32">
        <f t="shared" si="103"/>
        <v>0</v>
      </c>
      <c r="AD697" s="33"/>
      <c r="AE697" s="33">
        <f t="shared" si="104"/>
        <v>0</v>
      </c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</row>
    <row r="698" spans="2:49" ht="12.75" hidden="1">
      <c r="B698" s="185" t="s">
        <v>1215</v>
      </c>
      <c r="C698" s="79"/>
      <c r="D698" s="22"/>
      <c r="E698" s="285"/>
      <c r="F698" s="285"/>
      <c r="G698" s="22"/>
      <c r="H698" s="86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59">
        <f t="shared" si="106"/>
        <v>0</v>
      </c>
      <c r="U698" s="161">
        <f t="shared" si="107"/>
      </c>
      <c r="V698" s="162"/>
      <c r="W698" s="255"/>
      <c r="X698" s="32"/>
      <c r="Y698" s="32"/>
      <c r="Z698" s="32"/>
      <c r="AA698" s="32"/>
      <c r="AB698" s="32"/>
      <c r="AC698" s="32">
        <f t="shared" si="103"/>
        <v>0</v>
      </c>
      <c r="AD698" s="33"/>
      <c r="AE698" s="33">
        <f t="shared" si="104"/>
        <v>0</v>
      </c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>
        <f>SUM(AG698:AV698)</f>
        <v>0</v>
      </c>
    </row>
    <row r="699" spans="2:49" ht="12.75" hidden="1">
      <c r="B699" s="185" t="s">
        <v>1216</v>
      </c>
      <c r="C699" s="79"/>
      <c r="D699" s="22"/>
      <c r="E699" s="285"/>
      <c r="F699" s="285"/>
      <c r="G699" s="22"/>
      <c r="H699" s="86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59">
        <f t="shared" si="106"/>
        <v>0</v>
      </c>
      <c r="U699" s="161">
        <f t="shared" si="107"/>
      </c>
      <c r="V699" s="162"/>
      <c r="W699" s="255"/>
      <c r="X699" s="32"/>
      <c r="Y699" s="32"/>
      <c r="Z699" s="32"/>
      <c r="AA699" s="32"/>
      <c r="AB699" s="32"/>
      <c r="AC699" s="32">
        <f t="shared" si="103"/>
        <v>0</v>
      </c>
      <c r="AD699" s="33"/>
      <c r="AE699" s="33">
        <f t="shared" si="104"/>
        <v>0</v>
      </c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>
        <f>SUM(AG699:AV699)</f>
        <v>0</v>
      </c>
    </row>
    <row r="700" spans="2:49" ht="12.75" hidden="1">
      <c r="B700" s="185" t="s">
        <v>1217</v>
      </c>
      <c r="C700" s="79"/>
      <c r="D700" s="22"/>
      <c r="E700" s="285"/>
      <c r="F700" s="285"/>
      <c r="G700" s="22">
        <v>0.003</v>
      </c>
      <c r="H700" s="86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59">
        <f t="shared" si="106"/>
        <v>0</v>
      </c>
      <c r="U700" s="161">
        <f t="shared" si="107"/>
      </c>
      <c r="V700" s="162"/>
      <c r="W700" s="255"/>
      <c r="X700" s="32"/>
      <c r="Y700" s="32"/>
      <c r="Z700" s="32"/>
      <c r="AA700" s="32"/>
      <c r="AB700" s="32"/>
      <c r="AC700" s="32">
        <f t="shared" si="103"/>
        <v>0</v>
      </c>
      <c r="AD700" s="33"/>
      <c r="AE700" s="33">
        <f t="shared" si="104"/>
        <v>0</v>
      </c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</row>
    <row r="701" spans="2:49" ht="12.75" hidden="1">
      <c r="B701" s="185" t="s">
        <v>1218</v>
      </c>
      <c r="C701" s="79"/>
      <c r="D701" s="22"/>
      <c r="E701" s="285"/>
      <c r="F701" s="285"/>
      <c r="G701" s="22">
        <v>0.002</v>
      </c>
      <c r="H701" s="86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59">
        <f t="shared" si="106"/>
        <v>0</v>
      </c>
      <c r="U701" s="161">
        <f t="shared" si="107"/>
      </c>
      <c r="V701" s="162"/>
      <c r="W701" s="255"/>
      <c r="X701" s="32"/>
      <c r="Y701" s="32"/>
      <c r="Z701" s="32"/>
      <c r="AA701" s="32"/>
      <c r="AB701" s="32"/>
      <c r="AC701" s="32">
        <f t="shared" si="103"/>
        <v>0</v>
      </c>
      <c r="AD701" s="33"/>
      <c r="AE701" s="33">
        <f t="shared" si="104"/>
        <v>0</v>
      </c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>
        <f>SUM(AG701:AV701)</f>
        <v>0</v>
      </c>
    </row>
    <row r="702" spans="2:49" ht="12.75" hidden="1">
      <c r="B702" s="185"/>
      <c r="C702" s="79"/>
      <c r="D702" s="22"/>
      <c r="E702" s="294"/>
      <c r="F702" s="295"/>
      <c r="G702" s="9"/>
      <c r="H702" s="86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59">
        <f t="shared" si="106"/>
        <v>0</v>
      </c>
      <c r="U702" s="161">
        <f t="shared" si="107"/>
      </c>
      <c r="V702" s="162"/>
      <c r="W702" s="255"/>
      <c r="X702" s="32"/>
      <c r="Y702" s="32"/>
      <c r="Z702" s="32"/>
      <c r="AA702" s="32"/>
      <c r="AB702" s="32"/>
      <c r="AC702" s="32">
        <f aca="true" t="shared" si="108" ref="AC702:AC722">SUM(AG702:AV702)</f>
        <v>0</v>
      </c>
      <c r="AD702" s="33"/>
      <c r="AE702" s="33">
        <f t="shared" si="104"/>
        <v>0</v>
      </c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>
        <f>SUM(AG702:AV702)</f>
        <v>0</v>
      </c>
    </row>
    <row r="703" spans="2:49" ht="12.75" hidden="1">
      <c r="B703" s="185"/>
      <c r="C703" s="79"/>
      <c r="D703" s="22"/>
      <c r="E703" s="285"/>
      <c r="F703" s="285"/>
      <c r="G703" s="22"/>
      <c r="H703" s="86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59">
        <f t="shared" si="106"/>
        <v>0</v>
      </c>
      <c r="U703" s="161">
        <f t="shared" si="107"/>
      </c>
      <c r="V703" s="162"/>
      <c r="W703" s="255"/>
      <c r="X703" s="32"/>
      <c r="Y703" s="32"/>
      <c r="Z703" s="32"/>
      <c r="AA703" s="32"/>
      <c r="AB703" s="32"/>
      <c r="AC703" s="32">
        <f t="shared" si="108"/>
        <v>0</v>
      </c>
      <c r="AD703" s="33"/>
      <c r="AE703" s="33">
        <f t="shared" si="104"/>
        <v>0</v>
      </c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>
        <f>SUM(AG703:AV703)</f>
        <v>0</v>
      </c>
    </row>
    <row r="704" spans="2:49" ht="12.75" hidden="1">
      <c r="B704" s="185"/>
      <c r="C704" s="79"/>
      <c r="D704" s="22"/>
      <c r="E704" s="285"/>
      <c r="F704" s="285"/>
      <c r="G704" s="22"/>
      <c r="H704" s="86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59">
        <f t="shared" si="106"/>
        <v>0</v>
      </c>
      <c r="U704" s="161">
        <f t="shared" si="107"/>
      </c>
      <c r="V704" s="162"/>
      <c r="W704" s="255"/>
      <c r="X704" s="32"/>
      <c r="Y704" s="32"/>
      <c r="Z704" s="32"/>
      <c r="AA704" s="32"/>
      <c r="AB704" s="32"/>
      <c r="AC704" s="32">
        <f>SUM(AG704:AV704)</f>
        <v>0</v>
      </c>
      <c r="AD704" s="33"/>
      <c r="AE704" s="33">
        <f t="shared" si="104"/>
        <v>0</v>
      </c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</row>
    <row r="705" spans="2:49" ht="12.75" hidden="1">
      <c r="B705" s="185"/>
      <c r="C705" s="79"/>
      <c r="D705" s="22"/>
      <c r="E705" s="285"/>
      <c r="F705" s="285"/>
      <c r="G705" s="22"/>
      <c r="H705" s="86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59">
        <f t="shared" si="106"/>
        <v>0</v>
      </c>
      <c r="U705" s="161">
        <f t="shared" si="107"/>
      </c>
      <c r="V705" s="162"/>
      <c r="W705" s="255"/>
      <c r="X705" s="32"/>
      <c r="Y705" s="32"/>
      <c r="Z705" s="32"/>
      <c r="AA705" s="32"/>
      <c r="AB705" s="32"/>
      <c r="AC705" s="32">
        <f t="shared" si="108"/>
        <v>0</v>
      </c>
      <c r="AD705" s="33"/>
      <c r="AE705" s="33">
        <f t="shared" si="104"/>
        <v>0</v>
      </c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>
        <f>SUM(AG705:AV705)</f>
        <v>0</v>
      </c>
    </row>
    <row r="706" spans="2:49" ht="12.75" hidden="1">
      <c r="B706" s="185"/>
      <c r="C706" s="79"/>
      <c r="D706" s="22"/>
      <c r="E706" s="285"/>
      <c r="F706" s="285"/>
      <c r="G706" s="22"/>
      <c r="H706" s="86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59">
        <f t="shared" si="106"/>
        <v>0</v>
      </c>
      <c r="U706" s="161">
        <f t="shared" si="107"/>
      </c>
      <c r="V706" s="162"/>
      <c r="W706" s="255"/>
      <c r="X706" s="32"/>
      <c r="Y706" s="32"/>
      <c r="Z706" s="32"/>
      <c r="AA706" s="32"/>
      <c r="AB706" s="32"/>
      <c r="AC706" s="32">
        <f t="shared" si="108"/>
        <v>0</v>
      </c>
      <c r="AD706" s="33"/>
      <c r="AE706" s="33">
        <f t="shared" si="104"/>
        <v>0</v>
      </c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>
        <f>SUM(AG706:AV706)</f>
        <v>0</v>
      </c>
    </row>
    <row r="707" spans="2:49" ht="12.75" hidden="1">
      <c r="B707" s="185"/>
      <c r="C707" s="79"/>
      <c r="D707" s="22"/>
      <c r="E707" s="285"/>
      <c r="F707" s="285"/>
      <c r="G707" s="22"/>
      <c r="H707" s="86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59">
        <f t="shared" si="106"/>
        <v>0</v>
      </c>
      <c r="U707" s="161">
        <f t="shared" si="107"/>
      </c>
      <c r="V707" s="162"/>
      <c r="W707" s="255"/>
      <c r="X707" s="32"/>
      <c r="Y707" s="32"/>
      <c r="Z707" s="32"/>
      <c r="AA707" s="32"/>
      <c r="AB707" s="32"/>
      <c r="AC707" s="32"/>
      <c r="AD707" s="33"/>
      <c r="AE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</row>
    <row r="708" spans="2:49" ht="12.75" hidden="1">
      <c r="B708" s="185"/>
      <c r="C708" s="79"/>
      <c r="D708" s="22"/>
      <c r="E708" s="285"/>
      <c r="F708" s="285"/>
      <c r="G708" s="22"/>
      <c r="H708" s="86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59">
        <f t="shared" si="106"/>
        <v>0</v>
      </c>
      <c r="U708" s="161">
        <f t="shared" si="107"/>
      </c>
      <c r="V708" s="162"/>
      <c r="W708" s="255"/>
      <c r="X708" s="32"/>
      <c r="Y708" s="32"/>
      <c r="Z708" s="32"/>
      <c r="AA708" s="32"/>
      <c r="AB708" s="32"/>
      <c r="AC708" s="32">
        <f t="shared" si="108"/>
        <v>0</v>
      </c>
      <c r="AD708" s="33"/>
      <c r="AE708" s="33">
        <f aca="true" t="shared" si="109" ref="AE708:AE718">SUM(X708:AD708)</f>
        <v>0</v>
      </c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>
        <f>SUM(AG708:AV708)</f>
        <v>0</v>
      </c>
    </row>
    <row r="709" spans="2:49" ht="12.75" hidden="1">
      <c r="B709" s="185"/>
      <c r="C709" s="79"/>
      <c r="D709" s="22"/>
      <c r="E709" s="285"/>
      <c r="F709" s="285"/>
      <c r="G709" s="22"/>
      <c r="H709" s="86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59">
        <f t="shared" si="106"/>
        <v>0</v>
      </c>
      <c r="U709" s="161">
        <f t="shared" si="107"/>
      </c>
      <c r="V709" s="162"/>
      <c r="W709" s="255"/>
      <c r="X709" s="32"/>
      <c r="Y709" s="32"/>
      <c r="Z709" s="32"/>
      <c r="AA709" s="32"/>
      <c r="AB709" s="32"/>
      <c r="AC709" s="32">
        <f t="shared" si="108"/>
        <v>0</v>
      </c>
      <c r="AD709" s="33"/>
      <c r="AE709" s="33">
        <f t="shared" si="109"/>
        <v>0</v>
      </c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>
        <f>SUM(AG709:AV709)</f>
        <v>0</v>
      </c>
    </row>
    <row r="710" spans="2:49" ht="12.75" hidden="1">
      <c r="B710" s="185"/>
      <c r="C710" s="79"/>
      <c r="D710" s="22"/>
      <c r="E710" s="285"/>
      <c r="F710" s="285"/>
      <c r="G710" s="22"/>
      <c r="H710" s="86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59">
        <f t="shared" si="106"/>
        <v>0</v>
      </c>
      <c r="U710" s="161">
        <f t="shared" si="107"/>
      </c>
      <c r="V710" s="162"/>
      <c r="W710" s="255"/>
      <c r="X710" s="32"/>
      <c r="Y710" s="32"/>
      <c r="Z710" s="32"/>
      <c r="AA710" s="32"/>
      <c r="AB710" s="32"/>
      <c r="AC710" s="32">
        <f>SUM(AG710:AV710)</f>
        <v>0</v>
      </c>
      <c r="AD710" s="33"/>
      <c r="AE710" s="33">
        <f t="shared" si="109"/>
        <v>0</v>
      </c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</row>
    <row r="711" spans="2:49" ht="12.75" hidden="1">
      <c r="B711" s="185"/>
      <c r="C711" s="79"/>
      <c r="D711" s="22"/>
      <c r="E711" s="285"/>
      <c r="F711" s="285"/>
      <c r="G711" s="22"/>
      <c r="H711" s="86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59">
        <f t="shared" si="106"/>
        <v>0</v>
      </c>
      <c r="U711" s="161">
        <f t="shared" si="107"/>
      </c>
      <c r="V711" s="162"/>
      <c r="W711" s="255"/>
      <c r="X711" s="32"/>
      <c r="Y711" s="32"/>
      <c r="Z711" s="32"/>
      <c r="AA711" s="32"/>
      <c r="AB711" s="32"/>
      <c r="AC711" s="32">
        <f>SUM(AG711:AV711)</f>
        <v>0</v>
      </c>
      <c r="AD711" s="33"/>
      <c r="AE711" s="33">
        <f t="shared" si="109"/>
        <v>0</v>
      </c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</row>
    <row r="712" spans="2:49" ht="12.75" hidden="1">
      <c r="B712" s="185"/>
      <c r="C712" s="79"/>
      <c r="D712" s="22"/>
      <c r="E712" s="285"/>
      <c r="F712" s="285"/>
      <c r="G712" s="22"/>
      <c r="H712" s="86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59">
        <f t="shared" si="106"/>
        <v>0</v>
      </c>
      <c r="U712" s="161">
        <f t="shared" si="107"/>
      </c>
      <c r="V712" s="162"/>
      <c r="W712" s="255"/>
      <c r="X712" s="32"/>
      <c r="Y712" s="32"/>
      <c r="Z712" s="32"/>
      <c r="AA712" s="32"/>
      <c r="AB712" s="32"/>
      <c r="AC712" s="32">
        <f t="shared" si="108"/>
        <v>0</v>
      </c>
      <c r="AD712" s="33"/>
      <c r="AE712" s="33">
        <f t="shared" si="109"/>
        <v>0</v>
      </c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>
        <f aca="true" t="shared" si="110" ref="AW712:AW718">SUM(AG712:AV712)</f>
        <v>0</v>
      </c>
    </row>
    <row r="713" spans="2:49" ht="12.75" hidden="1">
      <c r="B713" s="185"/>
      <c r="C713" s="79"/>
      <c r="D713" s="22"/>
      <c r="E713" s="285"/>
      <c r="F713" s="285"/>
      <c r="G713" s="22"/>
      <c r="H713" s="86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59">
        <f t="shared" si="106"/>
        <v>0</v>
      </c>
      <c r="U713" s="161">
        <f t="shared" si="107"/>
      </c>
      <c r="V713" s="162"/>
      <c r="W713" s="255"/>
      <c r="X713" s="32"/>
      <c r="Y713" s="32"/>
      <c r="Z713" s="32"/>
      <c r="AA713" s="32"/>
      <c r="AB713" s="32"/>
      <c r="AC713" s="32">
        <f t="shared" si="108"/>
        <v>0</v>
      </c>
      <c r="AD713" s="33"/>
      <c r="AE713" s="33">
        <f t="shared" si="109"/>
        <v>0</v>
      </c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>
        <f t="shared" si="110"/>
        <v>0</v>
      </c>
    </row>
    <row r="714" spans="2:49" ht="12.75" hidden="1">
      <c r="B714" s="185"/>
      <c r="C714" s="79"/>
      <c r="D714" s="22"/>
      <c r="E714" s="285"/>
      <c r="F714" s="285"/>
      <c r="G714" s="22"/>
      <c r="H714" s="86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59">
        <f t="shared" si="106"/>
        <v>0</v>
      </c>
      <c r="U714" s="161">
        <f t="shared" si="107"/>
      </c>
      <c r="V714" s="162"/>
      <c r="W714" s="255"/>
      <c r="X714" s="32"/>
      <c r="Y714" s="32"/>
      <c r="Z714" s="32"/>
      <c r="AA714" s="32"/>
      <c r="AB714" s="32"/>
      <c r="AC714" s="32">
        <f t="shared" si="108"/>
        <v>0</v>
      </c>
      <c r="AD714" s="33"/>
      <c r="AE714" s="33">
        <f t="shared" si="109"/>
        <v>0</v>
      </c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>
        <f t="shared" si="110"/>
        <v>0</v>
      </c>
    </row>
    <row r="715" spans="2:49" ht="12.75" hidden="1">
      <c r="B715" s="185"/>
      <c r="C715" s="79"/>
      <c r="D715" s="22"/>
      <c r="E715" s="285"/>
      <c r="F715" s="285"/>
      <c r="G715" s="22"/>
      <c r="H715" s="86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59">
        <f t="shared" si="106"/>
        <v>0</v>
      </c>
      <c r="U715" s="161">
        <f t="shared" si="107"/>
      </c>
      <c r="V715" s="162"/>
      <c r="W715" s="255"/>
      <c r="X715" s="32"/>
      <c r="Y715" s="32"/>
      <c r="Z715" s="32"/>
      <c r="AA715" s="32"/>
      <c r="AB715" s="32"/>
      <c r="AC715" s="32">
        <f t="shared" si="108"/>
        <v>0</v>
      </c>
      <c r="AD715" s="33"/>
      <c r="AE715" s="33">
        <f t="shared" si="109"/>
        <v>0</v>
      </c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>
        <f t="shared" si="110"/>
        <v>0</v>
      </c>
    </row>
    <row r="716" spans="2:49" ht="12.75" hidden="1">
      <c r="B716" s="185"/>
      <c r="C716" s="79"/>
      <c r="D716" s="22"/>
      <c r="E716" s="285"/>
      <c r="F716" s="285"/>
      <c r="G716" s="22"/>
      <c r="H716" s="86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59">
        <f t="shared" si="106"/>
        <v>0</v>
      </c>
      <c r="U716" s="161">
        <f t="shared" si="107"/>
      </c>
      <c r="V716" s="162"/>
      <c r="W716" s="255"/>
      <c r="X716" s="32"/>
      <c r="Y716" s="32"/>
      <c r="Z716" s="32"/>
      <c r="AA716" s="32"/>
      <c r="AB716" s="32"/>
      <c r="AC716" s="32">
        <f t="shared" si="108"/>
        <v>0</v>
      </c>
      <c r="AD716" s="33"/>
      <c r="AE716" s="33">
        <f t="shared" si="109"/>
        <v>0</v>
      </c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>
        <f t="shared" si="110"/>
        <v>0</v>
      </c>
    </row>
    <row r="717" spans="2:49" ht="12.75" hidden="1">
      <c r="B717" s="185"/>
      <c r="C717" s="112"/>
      <c r="D717" s="22"/>
      <c r="E717" s="285"/>
      <c r="F717" s="285"/>
      <c r="G717" s="22"/>
      <c r="H717" s="86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59">
        <f t="shared" si="106"/>
        <v>0</v>
      </c>
      <c r="U717" s="161">
        <f t="shared" si="107"/>
      </c>
      <c r="V717" s="162"/>
      <c r="W717" s="255"/>
      <c r="X717" s="32"/>
      <c r="Y717" s="32"/>
      <c r="Z717" s="32"/>
      <c r="AA717" s="32"/>
      <c r="AB717" s="32"/>
      <c r="AC717" s="32">
        <f t="shared" si="108"/>
        <v>0</v>
      </c>
      <c r="AD717" s="33"/>
      <c r="AE717" s="33">
        <f t="shared" si="109"/>
        <v>0</v>
      </c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>
        <f t="shared" si="110"/>
        <v>0</v>
      </c>
    </row>
    <row r="718" spans="2:49" ht="12.75" hidden="1">
      <c r="B718" s="185"/>
      <c r="C718" s="112"/>
      <c r="D718" s="22"/>
      <c r="E718" s="285"/>
      <c r="F718" s="285"/>
      <c r="G718" s="22"/>
      <c r="H718" s="86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59">
        <f t="shared" si="106"/>
        <v>0</v>
      </c>
      <c r="U718" s="161">
        <f t="shared" si="107"/>
      </c>
      <c r="V718" s="162"/>
      <c r="W718" s="255"/>
      <c r="X718" s="32"/>
      <c r="Y718" s="32"/>
      <c r="Z718" s="32"/>
      <c r="AA718" s="32"/>
      <c r="AB718" s="32"/>
      <c r="AC718" s="32">
        <f t="shared" si="108"/>
        <v>0</v>
      </c>
      <c r="AD718" s="33"/>
      <c r="AE718" s="33">
        <f t="shared" si="109"/>
        <v>0</v>
      </c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>
        <f t="shared" si="110"/>
        <v>0</v>
      </c>
    </row>
    <row r="719" spans="2:49" ht="12.75" hidden="1">
      <c r="B719" s="185"/>
      <c r="C719" s="112"/>
      <c r="D719" s="22"/>
      <c r="E719" s="285"/>
      <c r="F719" s="285"/>
      <c r="G719" s="22"/>
      <c r="H719" s="86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59">
        <f t="shared" si="106"/>
        <v>0</v>
      </c>
      <c r="U719" s="161">
        <f t="shared" si="107"/>
      </c>
      <c r="V719" s="162"/>
      <c r="W719" s="255"/>
      <c r="X719" s="32"/>
      <c r="Y719" s="32"/>
      <c r="Z719" s="32"/>
      <c r="AA719" s="32"/>
      <c r="AB719" s="32"/>
      <c r="AC719" s="32"/>
      <c r="AD719" s="33"/>
      <c r="AE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</row>
    <row r="720" spans="2:49" ht="12.75" hidden="1">
      <c r="B720" s="185"/>
      <c r="C720" s="112"/>
      <c r="D720" s="22"/>
      <c r="E720" s="285"/>
      <c r="F720" s="285"/>
      <c r="G720" s="22"/>
      <c r="H720" s="86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59">
        <f t="shared" si="106"/>
        <v>0</v>
      </c>
      <c r="U720" s="161">
        <f t="shared" si="107"/>
      </c>
      <c r="V720" s="162"/>
      <c r="W720" s="255"/>
      <c r="X720" s="32"/>
      <c r="Y720" s="32"/>
      <c r="Z720" s="32"/>
      <c r="AA720" s="32"/>
      <c r="AB720" s="32"/>
      <c r="AC720" s="32">
        <f t="shared" si="108"/>
        <v>0</v>
      </c>
      <c r="AD720" s="33"/>
      <c r="AE720" s="33">
        <f>SUM(X720:AD720)</f>
        <v>0</v>
      </c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</row>
    <row r="721" spans="2:49" ht="12.75" hidden="1">
      <c r="B721" s="185"/>
      <c r="C721" s="112"/>
      <c r="D721" s="22"/>
      <c r="E721" s="285"/>
      <c r="F721" s="285"/>
      <c r="G721" s="22"/>
      <c r="H721" s="86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59">
        <f t="shared" si="106"/>
        <v>0</v>
      </c>
      <c r="U721" s="161">
        <f t="shared" si="107"/>
      </c>
      <c r="V721" s="162"/>
      <c r="W721" s="255"/>
      <c r="X721" s="32"/>
      <c r="Y721" s="32"/>
      <c r="Z721" s="32"/>
      <c r="AA721" s="32"/>
      <c r="AB721" s="32"/>
      <c r="AC721" s="32"/>
      <c r="AD721" s="33"/>
      <c r="AE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</row>
    <row r="722" spans="1:49" ht="12.75">
      <c r="A722" s="29" t="s">
        <v>201</v>
      </c>
      <c r="B722" s="185"/>
      <c r="C722" s="100" t="s">
        <v>184</v>
      </c>
      <c r="D722" s="22">
        <v>0.1</v>
      </c>
      <c r="E722" s="285"/>
      <c r="F722" s="285"/>
      <c r="G722" s="22">
        <f>SUM(G683:G721)</f>
        <v>0.05200000000000001</v>
      </c>
      <c r="H722" s="86">
        <f>G722</f>
        <v>0.05200000000000001</v>
      </c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59">
        <v>0.052</v>
      </c>
      <c r="U722" s="161" t="str">
        <f t="shared" si="107"/>
        <v>adjust profile</v>
      </c>
      <c r="V722" s="162"/>
      <c r="W722" s="255"/>
      <c r="X722" s="32"/>
      <c r="Y722" s="32"/>
      <c r="Z722" s="32"/>
      <c r="AA722" s="32"/>
      <c r="AB722" s="32">
        <v>0.1</v>
      </c>
      <c r="AC722" s="32">
        <f t="shared" si="108"/>
        <v>0</v>
      </c>
      <c r="AD722" s="33"/>
      <c r="AE722" s="33">
        <f aca="true" t="shared" si="111" ref="AE722:AE730">SUM(X722:AD722)</f>
        <v>0.1</v>
      </c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>
        <f aca="true" t="shared" si="112" ref="AW722:AW730">SUM(AG722:AV722)</f>
        <v>0</v>
      </c>
    </row>
    <row r="723" spans="2:50" ht="12.75">
      <c r="B723" s="23"/>
      <c r="C723" s="195" t="s">
        <v>144</v>
      </c>
      <c r="D723" s="22">
        <v>0.1</v>
      </c>
      <c r="E723" s="285"/>
      <c r="F723" s="285"/>
      <c r="G723" s="22"/>
      <c r="H723" s="86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59">
        <f t="shared" si="106"/>
        <v>0.016666666666666666</v>
      </c>
      <c r="U723" s="161" t="str">
        <f t="shared" si="107"/>
        <v>adjust profile</v>
      </c>
      <c r="V723" s="162"/>
      <c r="W723" s="255"/>
      <c r="X723" s="32"/>
      <c r="Y723" s="32"/>
      <c r="Z723" s="32"/>
      <c r="AA723" s="32"/>
      <c r="AB723" s="32">
        <v>0.02</v>
      </c>
      <c r="AC723" s="32">
        <f aca="true" t="shared" si="113" ref="AC723:AC730">SUM(AG723:AV723)</f>
        <v>0.08</v>
      </c>
      <c r="AD723" s="33"/>
      <c r="AE723" s="33">
        <f t="shared" si="111"/>
        <v>0.1</v>
      </c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>
        <v>0.08</v>
      </c>
      <c r="AW723" s="33">
        <f t="shared" si="112"/>
        <v>0.08</v>
      </c>
      <c r="AX723" s="29" t="s">
        <v>297</v>
      </c>
    </row>
    <row r="724" spans="3:50" ht="12.75">
      <c r="C724" s="196" t="s">
        <v>145</v>
      </c>
      <c r="D724" s="200">
        <v>0.062</v>
      </c>
      <c r="E724" s="148"/>
      <c r="F724" s="148"/>
      <c r="G724" s="9"/>
      <c r="H724" s="86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59">
        <f t="shared" si="106"/>
        <v>0.010333333333333333</v>
      </c>
      <c r="U724" s="161"/>
      <c r="V724" s="162"/>
      <c r="W724" s="255"/>
      <c r="X724" s="32"/>
      <c r="Y724" s="32"/>
      <c r="Z724" s="32"/>
      <c r="AA724" s="32">
        <v>0.007</v>
      </c>
      <c r="AB724" s="32">
        <v>0.01</v>
      </c>
      <c r="AC724" s="32">
        <f t="shared" si="113"/>
        <v>0.045</v>
      </c>
      <c r="AD724" s="33"/>
      <c r="AE724" s="33">
        <f t="shared" si="111"/>
        <v>0.062</v>
      </c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>
        <v>0.045</v>
      </c>
      <c r="AW724" s="33">
        <f t="shared" si="112"/>
        <v>0.045</v>
      </c>
      <c r="AX724" s="29" t="s">
        <v>395</v>
      </c>
    </row>
    <row r="725" spans="2:49" ht="12.75">
      <c r="B725" s="23"/>
      <c r="C725" s="195" t="s">
        <v>146</v>
      </c>
      <c r="D725" s="22">
        <v>0.058</v>
      </c>
      <c r="E725" s="294"/>
      <c r="F725" s="295"/>
      <c r="G725" s="22"/>
      <c r="H725" s="86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59">
        <f t="shared" si="106"/>
        <v>0.009666666666666667</v>
      </c>
      <c r="U725" s="161" t="str">
        <f aca="true" t="shared" si="114" ref="U725:U741">IF(SUM(H725:S725)-D725=0,"","adjust profile")</f>
        <v>adjust profile</v>
      </c>
      <c r="V725" s="162"/>
      <c r="W725" s="255"/>
      <c r="X725" s="32"/>
      <c r="Y725" s="32"/>
      <c r="Z725" s="32"/>
      <c r="AA725" s="32">
        <v>0.058</v>
      </c>
      <c r="AB725" s="32"/>
      <c r="AC725" s="32">
        <f t="shared" si="113"/>
        <v>0</v>
      </c>
      <c r="AD725" s="33"/>
      <c r="AE725" s="33">
        <f t="shared" si="111"/>
        <v>0.058</v>
      </c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>
        <f t="shared" si="112"/>
        <v>0</v>
      </c>
    </row>
    <row r="726" spans="2:49" ht="12.75" hidden="1">
      <c r="B726" s="23"/>
      <c r="C726" s="79" t="s">
        <v>316</v>
      </c>
      <c r="D726" s="22"/>
      <c r="E726" s="285"/>
      <c r="F726" s="285"/>
      <c r="G726" s="22"/>
      <c r="H726" s="86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59">
        <f aca="true" t="shared" si="115" ref="T726:T740">D726/12</f>
        <v>0</v>
      </c>
      <c r="U726" s="161">
        <f t="shared" si="114"/>
      </c>
      <c r="V726" s="162"/>
      <c r="W726" s="255"/>
      <c r="X726" s="32"/>
      <c r="Y726" s="32"/>
      <c r="Z726" s="32"/>
      <c r="AA726" s="32"/>
      <c r="AB726" s="32"/>
      <c r="AC726" s="32">
        <f t="shared" si="113"/>
        <v>0</v>
      </c>
      <c r="AD726" s="33"/>
      <c r="AE726" s="33">
        <f t="shared" si="111"/>
        <v>0</v>
      </c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>
        <f t="shared" si="112"/>
        <v>0</v>
      </c>
    </row>
    <row r="727" spans="2:49" ht="12.75" hidden="1">
      <c r="B727" s="23" t="s">
        <v>1190</v>
      </c>
      <c r="C727" s="79" t="s">
        <v>1183</v>
      </c>
      <c r="D727" s="22"/>
      <c r="E727" s="285"/>
      <c r="F727" s="285"/>
      <c r="G727" s="22">
        <v>0.001</v>
      </c>
      <c r="H727" s="86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59">
        <f t="shared" si="115"/>
        <v>0</v>
      </c>
      <c r="U727" s="161">
        <f t="shared" si="114"/>
      </c>
      <c r="V727" s="162"/>
      <c r="W727" s="255"/>
      <c r="X727" s="32"/>
      <c r="Y727" s="32"/>
      <c r="Z727" s="32"/>
      <c r="AA727" s="32"/>
      <c r="AB727" s="32"/>
      <c r="AC727" s="32">
        <f t="shared" si="113"/>
        <v>0</v>
      </c>
      <c r="AD727" s="33"/>
      <c r="AE727" s="33">
        <f t="shared" si="111"/>
        <v>0</v>
      </c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>
        <f t="shared" si="112"/>
        <v>0</v>
      </c>
    </row>
    <row r="728" spans="2:49" ht="12.75" hidden="1">
      <c r="B728" s="23" t="s">
        <v>1191</v>
      </c>
      <c r="C728" s="79" t="s">
        <v>1184</v>
      </c>
      <c r="D728" s="22"/>
      <c r="E728" s="285"/>
      <c r="F728" s="285"/>
      <c r="G728" s="22">
        <v>0.001</v>
      </c>
      <c r="H728" s="86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59">
        <f t="shared" si="115"/>
        <v>0</v>
      </c>
      <c r="U728" s="161">
        <f t="shared" si="114"/>
      </c>
      <c r="V728" s="162"/>
      <c r="W728" s="255"/>
      <c r="X728" s="32"/>
      <c r="Y728" s="32"/>
      <c r="Z728" s="32"/>
      <c r="AA728" s="32"/>
      <c r="AB728" s="32"/>
      <c r="AC728" s="32">
        <f t="shared" si="113"/>
        <v>0</v>
      </c>
      <c r="AD728" s="33"/>
      <c r="AE728" s="33">
        <f t="shared" si="111"/>
        <v>0</v>
      </c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>
        <f t="shared" si="112"/>
        <v>0</v>
      </c>
    </row>
    <row r="729" spans="2:49" ht="12.75" hidden="1">
      <c r="B729" s="23" t="s">
        <v>1192</v>
      </c>
      <c r="C729" s="79" t="s">
        <v>1185</v>
      </c>
      <c r="D729" s="22"/>
      <c r="E729" s="285"/>
      <c r="F729" s="285"/>
      <c r="G729" s="22">
        <v>0.002</v>
      </c>
      <c r="H729" s="86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59">
        <f t="shared" si="115"/>
        <v>0</v>
      </c>
      <c r="U729" s="161">
        <f t="shared" si="114"/>
      </c>
      <c r="V729" s="162"/>
      <c r="W729" s="255"/>
      <c r="X729" s="32"/>
      <c r="Y729" s="32"/>
      <c r="Z729" s="32"/>
      <c r="AA729" s="32"/>
      <c r="AB729" s="32"/>
      <c r="AC729" s="32">
        <f t="shared" si="113"/>
        <v>0</v>
      </c>
      <c r="AD729" s="33"/>
      <c r="AE729" s="33">
        <f t="shared" si="111"/>
        <v>0</v>
      </c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>
        <f t="shared" si="112"/>
        <v>0</v>
      </c>
    </row>
    <row r="730" spans="2:49" ht="12.75" hidden="1">
      <c r="B730" s="23" t="s">
        <v>1193</v>
      </c>
      <c r="C730" s="79" t="s">
        <v>1186</v>
      </c>
      <c r="D730" s="22"/>
      <c r="E730" s="285"/>
      <c r="F730" s="285"/>
      <c r="G730" s="22">
        <v>0.016</v>
      </c>
      <c r="H730" s="86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59">
        <f t="shared" si="115"/>
        <v>0</v>
      </c>
      <c r="U730" s="161">
        <f t="shared" si="114"/>
      </c>
      <c r="V730" s="162"/>
      <c r="W730" s="255"/>
      <c r="X730" s="32"/>
      <c r="Y730" s="32"/>
      <c r="Z730" s="32"/>
      <c r="AA730" s="32"/>
      <c r="AB730" s="32"/>
      <c r="AC730" s="32">
        <f t="shared" si="113"/>
        <v>0</v>
      </c>
      <c r="AD730" s="33"/>
      <c r="AE730" s="33">
        <f t="shared" si="111"/>
        <v>0</v>
      </c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>
        <f t="shared" si="112"/>
        <v>0</v>
      </c>
    </row>
    <row r="731" spans="2:49" ht="12.75" hidden="1">
      <c r="B731" s="23" t="s">
        <v>1194</v>
      </c>
      <c r="C731" s="79" t="s">
        <v>1187</v>
      </c>
      <c r="D731" s="22"/>
      <c r="E731" s="285"/>
      <c r="F731" s="285"/>
      <c r="G731" s="22">
        <v>0.005</v>
      </c>
      <c r="H731" s="86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59">
        <f t="shared" si="115"/>
        <v>0</v>
      </c>
      <c r="U731" s="161">
        <f t="shared" si="114"/>
      </c>
      <c r="V731" s="162"/>
      <c r="W731" s="255"/>
      <c r="X731" s="32"/>
      <c r="Y731" s="32"/>
      <c r="Z731" s="32"/>
      <c r="AA731" s="32"/>
      <c r="AB731" s="32"/>
      <c r="AC731" s="32"/>
      <c r="AD731" s="33"/>
      <c r="AE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</row>
    <row r="732" spans="2:49" ht="12.75" hidden="1">
      <c r="B732" s="23" t="s">
        <v>1195</v>
      </c>
      <c r="C732" s="79" t="s">
        <v>1188</v>
      </c>
      <c r="D732" s="22"/>
      <c r="E732" s="285"/>
      <c r="F732" s="285"/>
      <c r="G732" s="22">
        <v>0.001</v>
      </c>
      <c r="H732" s="86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59">
        <f t="shared" si="115"/>
        <v>0</v>
      </c>
      <c r="U732" s="161">
        <f t="shared" si="114"/>
      </c>
      <c r="V732" s="162"/>
      <c r="W732" s="255"/>
      <c r="X732" s="32"/>
      <c r="Y732" s="32"/>
      <c r="Z732" s="32"/>
      <c r="AA732" s="32"/>
      <c r="AB732" s="32"/>
      <c r="AC732" s="32">
        <f>SUM(AG732:AV732)</f>
        <v>0</v>
      </c>
      <c r="AD732" s="33"/>
      <c r="AE732" s="33">
        <f>SUM(X732:AD732)</f>
        <v>0</v>
      </c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>
        <f>SUM(AG732:AV732)</f>
        <v>0</v>
      </c>
    </row>
    <row r="733" spans="2:49" ht="12.75" hidden="1">
      <c r="B733" s="23" t="s">
        <v>1196</v>
      </c>
      <c r="C733" s="79" t="s">
        <v>1189</v>
      </c>
      <c r="D733" s="22"/>
      <c r="E733" s="285"/>
      <c r="F733" s="285"/>
      <c r="G733" s="22">
        <v>0.008</v>
      </c>
      <c r="H733" s="86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59">
        <f t="shared" si="115"/>
        <v>0</v>
      </c>
      <c r="U733" s="161">
        <f t="shared" si="114"/>
      </c>
      <c r="V733" s="162"/>
      <c r="W733" s="255"/>
      <c r="X733" s="32"/>
      <c r="Y733" s="32"/>
      <c r="Z733" s="32"/>
      <c r="AA733" s="32"/>
      <c r="AB733" s="32"/>
      <c r="AC733" s="32">
        <f>SUM(AG733:AV733)</f>
        <v>0</v>
      </c>
      <c r="AD733" s="33"/>
      <c r="AE733" s="33">
        <f>SUM(X733:AD733)</f>
        <v>0</v>
      </c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>
        <f>SUM(AG733:AV733)</f>
        <v>0</v>
      </c>
    </row>
    <row r="734" spans="2:49" ht="12.75" hidden="1">
      <c r="B734" s="23"/>
      <c r="C734" s="79"/>
      <c r="D734" s="22"/>
      <c r="E734" s="285"/>
      <c r="F734" s="285"/>
      <c r="G734" s="22"/>
      <c r="H734" s="86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59">
        <f t="shared" si="115"/>
        <v>0</v>
      </c>
      <c r="U734" s="161">
        <f t="shared" si="114"/>
      </c>
      <c r="V734" s="162"/>
      <c r="W734" s="255"/>
      <c r="X734" s="32"/>
      <c r="Y734" s="32"/>
      <c r="Z734" s="32"/>
      <c r="AA734" s="32"/>
      <c r="AB734" s="32"/>
      <c r="AC734" s="32">
        <f>SUM(AG734:AV734)</f>
        <v>0</v>
      </c>
      <c r="AD734" s="33"/>
      <c r="AE734" s="33">
        <f>SUM(X734:AD734)</f>
        <v>0</v>
      </c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>
        <f>SUM(AG734:AV734)</f>
        <v>0</v>
      </c>
    </row>
    <row r="735" spans="2:49" ht="12.75" hidden="1">
      <c r="B735" s="23"/>
      <c r="C735" s="79"/>
      <c r="D735" s="22"/>
      <c r="E735" s="285"/>
      <c r="F735" s="285"/>
      <c r="G735" s="22"/>
      <c r="H735" s="86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59">
        <f t="shared" si="115"/>
        <v>0</v>
      </c>
      <c r="U735" s="161">
        <f t="shared" si="114"/>
      </c>
      <c r="V735" s="162"/>
      <c r="W735" s="255"/>
      <c r="X735" s="32"/>
      <c r="Y735" s="32"/>
      <c r="Z735" s="32"/>
      <c r="AA735" s="32"/>
      <c r="AB735" s="32"/>
      <c r="AC735" s="32">
        <f>SUM(AG735:AV735)</f>
        <v>0</v>
      </c>
      <c r="AD735" s="33"/>
      <c r="AE735" s="33">
        <f>SUM(X735:AD735)</f>
        <v>0</v>
      </c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>
        <f>SUM(AG735:AV735)</f>
        <v>0</v>
      </c>
    </row>
    <row r="736" spans="2:49" ht="12.75" hidden="1">
      <c r="B736" s="23"/>
      <c r="C736" s="79"/>
      <c r="D736" s="22"/>
      <c r="E736" s="285"/>
      <c r="F736" s="285"/>
      <c r="G736" s="22"/>
      <c r="H736" s="86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59">
        <f t="shared" si="115"/>
        <v>0</v>
      </c>
      <c r="U736" s="161">
        <f t="shared" si="114"/>
      </c>
      <c r="V736" s="162"/>
      <c r="W736" s="255"/>
      <c r="X736" s="32"/>
      <c r="Y736" s="32"/>
      <c r="Z736" s="32"/>
      <c r="AA736" s="32"/>
      <c r="AB736" s="32"/>
      <c r="AC736" s="32"/>
      <c r="AD736" s="33"/>
      <c r="AE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</row>
    <row r="737" spans="1:49" ht="12.75" hidden="1">
      <c r="A737" s="29">
        <f>-AG803</f>
        <v>0</v>
      </c>
      <c r="B737" s="23"/>
      <c r="C737" s="79"/>
      <c r="D737" s="22"/>
      <c r="E737" s="285"/>
      <c r="F737" s="285"/>
      <c r="G737" s="22"/>
      <c r="H737" s="86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59">
        <f t="shared" si="115"/>
        <v>0</v>
      </c>
      <c r="U737" s="161">
        <f t="shared" si="114"/>
      </c>
      <c r="V737" s="162"/>
      <c r="W737" s="255"/>
      <c r="X737" s="32"/>
      <c r="Y737" s="32"/>
      <c r="Z737" s="32"/>
      <c r="AA737" s="32"/>
      <c r="AB737" s="32"/>
      <c r="AC737" s="32">
        <f>SUM(AG737:AV737)</f>
        <v>0</v>
      </c>
      <c r="AD737" s="33"/>
      <c r="AE737" s="33">
        <f>SUM(X737:AD737)</f>
        <v>0</v>
      </c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>
        <f>SUM(AG737:AV737)</f>
        <v>0</v>
      </c>
    </row>
    <row r="738" spans="2:49" ht="12.75" hidden="1">
      <c r="B738" s="23"/>
      <c r="C738" s="79"/>
      <c r="D738" s="22"/>
      <c r="E738" s="285"/>
      <c r="F738" s="285"/>
      <c r="G738" s="22"/>
      <c r="H738" s="86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59">
        <f t="shared" si="115"/>
        <v>0</v>
      </c>
      <c r="U738" s="161">
        <f t="shared" si="114"/>
      </c>
      <c r="V738" s="162"/>
      <c r="W738" s="255"/>
      <c r="X738" s="32"/>
      <c r="Y738" s="32"/>
      <c r="Z738" s="32"/>
      <c r="AA738" s="32"/>
      <c r="AB738" s="32"/>
      <c r="AC738" s="32">
        <f>SUM(AG738:AV738)</f>
        <v>0</v>
      </c>
      <c r="AD738" s="33"/>
      <c r="AE738" s="33">
        <f>SUM(X738:AD738)</f>
        <v>0</v>
      </c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>
        <f>SUM(AG738:AV738)</f>
        <v>0</v>
      </c>
    </row>
    <row r="739" spans="2:49" ht="12.75" hidden="1">
      <c r="B739" s="23"/>
      <c r="C739" s="79"/>
      <c r="D739" s="22"/>
      <c r="E739" s="285"/>
      <c r="F739" s="285"/>
      <c r="G739" s="22"/>
      <c r="H739" s="86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59">
        <f t="shared" si="115"/>
        <v>0</v>
      </c>
      <c r="U739" s="161">
        <f t="shared" si="114"/>
      </c>
      <c r="V739" s="162"/>
      <c r="W739" s="255"/>
      <c r="X739" s="32"/>
      <c r="Y739" s="32"/>
      <c r="Z739" s="32"/>
      <c r="AA739" s="32"/>
      <c r="AB739" s="32"/>
      <c r="AC739" s="32"/>
      <c r="AD739" s="33"/>
      <c r="AE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</row>
    <row r="740" spans="2:49" ht="12.75" hidden="1">
      <c r="B740" s="23"/>
      <c r="C740" s="79"/>
      <c r="D740" s="22"/>
      <c r="E740" s="285"/>
      <c r="F740" s="285"/>
      <c r="G740" s="22"/>
      <c r="H740" s="86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59">
        <f t="shared" si="115"/>
        <v>0</v>
      </c>
      <c r="U740" s="161">
        <f t="shared" si="114"/>
      </c>
      <c r="V740" s="162"/>
      <c r="W740" s="255"/>
      <c r="X740" s="32"/>
      <c r="Y740" s="32"/>
      <c r="Z740" s="32"/>
      <c r="AA740" s="32"/>
      <c r="AB740" s="32"/>
      <c r="AC740" s="32"/>
      <c r="AD740" s="33"/>
      <c r="AE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</row>
    <row r="741" spans="1:49" ht="12.75">
      <c r="A741" s="29" t="s">
        <v>201</v>
      </c>
      <c r="B741" s="23"/>
      <c r="C741" s="138" t="s">
        <v>132</v>
      </c>
      <c r="D741" s="22">
        <f>G741</f>
        <v>0.034</v>
      </c>
      <c r="E741" s="285"/>
      <c r="F741" s="285"/>
      <c r="G741" s="22">
        <f>SUM(G726:G740)</f>
        <v>0.034</v>
      </c>
      <c r="H741" s="86">
        <f>G741</f>
        <v>0.034</v>
      </c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59">
        <v>0.034</v>
      </c>
      <c r="U741" s="161">
        <f t="shared" si="114"/>
      </c>
      <c r="V741" s="162"/>
      <c r="W741" s="255"/>
      <c r="X741" s="32"/>
      <c r="Y741" s="32"/>
      <c r="Z741" s="32"/>
      <c r="AA741" s="32"/>
      <c r="AB741" s="32">
        <f>G741</f>
        <v>0.034</v>
      </c>
      <c r="AC741" s="32">
        <f>SUM(AG741:AV741)</f>
        <v>0</v>
      </c>
      <c r="AD741" s="33"/>
      <c r="AE741" s="33">
        <f aca="true" t="shared" si="116" ref="AE741:AE756">SUM(X741:AD741)</f>
        <v>0.034</v>
      </c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>
        <f>SUM(AG741:AV741)</f>
        <v>0</v>
      </c>
    </row>
    <row r="742" spans="3:49" ht="12.75">
      <c r="C742" s="47" t="s">
        <v>621</v>
      </c>
      <c r="D742" s="182">
        <v>0.735</v>
      </c>
      <c r="E742" s="148"/>
      <c r="F742" s="148"/>
      <c r="G742" s="9"/>
      <c r="H742" s="86"/>
      <c r="I742" s="12"/>
      <c r="J742" s="12"/>
      <c r="K742" s="12">
        <v>0.685</v>
      </c>
      <c r="L742" s="12"/>
      <c r="M742" s="12">
        <v>0.05</v>
      </c>
      <c r="N742" s="12"/>
      <c r="O742" s="12"/>
      <c r="P742" s="12"/>
      <c r="Q742" s="12"/>
      <c r="R742" s="12"/>
      <c r="S742" s="12"/>
      <c r="T742" s="159">
        <f>SUM(H742:I742)</f>
        <v>0</v>
      </c>
      <c r="U742" s="161"/>
      <c r="V742" s="162"/>
      <c r="W742" s="255">
        <v>38509</v>
      </c>
      <c r="X742" s="32"/>
      <c r="Y742" s="32"/>
      <c r="Z742" s="32"/>
      <c r="AA742" s="32"/>
      <c r="AB742" s="32">
        <v>0.735</v>
      </c>
      <c r="AC742" s="32">
        <f>SUM(AG742:AV742)</f>
        <v>0</v>
      </c>
      <c r="AD742" s="33"/>
      <c r="AE742" s="33">
        <f t="shared" si="116"/>
        <v>0.735</v>
      </c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</row>
    <row r="743" spans="3:49" ht="12.75">
      <c r="C743" s="47" t="s">
        <v>620</v>
      </c>
      <c r="D743" s="182">
        <v>0.445</v>
      </c>
      <c r="E743" s="148"/>
      <c r="F743" s="148"/>
      <c r="G743" s="9"/>
      <c r="H743" s="86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59">
        <f>D743/12*2</f>
        <v>0.07416666666666667</v>
      </c>
      <c r="U743" s="161"/>
      <c r="V743" s="162"/>
      <c r="W743" s="255"/>
      <c r="X743" s="32"/>
      <c r="Y743" s="32"/>
      <c r="Z743" s="32"/>
      <c r="AA743" s="32"/>
      <c r="AB743" s="32">
        <v>0.445</v>
      </c>
      <c r="AC743" s="32">
        <f>SUM(AG743:AV743)</f>
        <v>0</v>
      </c>
      <c r="AD743" s="33"/>
      <c r="AE743" s="33">
        <f t="shared" si="116"/>
        <v>0.445</v>
      </c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</row>
    <row r="744" spans="3:49" ht="12.75">
      <c r="C744" s="47" t="s">
        <v>628</v>
      </c>
      <c r="D744" s="182">
        <v>0.058</v>
      </c>
      <c r="E744" s="148"/>
      <c r="F744" s="148"/>
      <c r="G744" s="9"/>
      <c r="H744" s="86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59">
        <f>D744/12*2</f>
        <v>0.009666666666666667</v>
      </c>
      <c r="U744" s="161"/>
      <c r="V744" s="162"/>
      <c r="W744" s="255"/>
      <c r="X744" s="32"/>
      <c r="Y744" s="32"/>
      <c r="Z744" s="32"/>
      <c r="AA744" s="172"/>
      <c r="AB744" s="32">
        <v>0.058</v>
      </c>
      <c r="AC744" s="336"/>
      <c r="AD744" s="33"/>
      <c r="AE744" s="33">
        <f t="shared" si="116"/>
        <v>0.058</v>
      </c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</row>
    <row r="745" spans="3:49" ht="12.75">
      <c r="C745" s="47" t="s">
        <v>3</v>
      </c>
      <c r="D745" s="182"/>
      <c r="E745" s="148"/>
      <c r="F745" s="148"/>
      <c r="G745" s="9"/>
      <c r="H745" s="86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59">
        <v>0</v>
      </c>
      <c r="U745" s="161"/>
      <c r="V745" s="162"/>
      <c r="W745" s="255"/>
      <c r="X745" s="32"/>
      <c r="Y745" s="32"/>
      <c r="Z745" s="32"/>
      <c r="AA745" s="172"/>
      <c r="AB745" s="32"/>
      <c r="AC745" s="336"/>
      <c r="AD745" s="33"/>
      <c r="AE745" s="33">
        <f t="shared" si="116"/>
        <v>0</v>
      </c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</row>
    <row r="746" spans="3:49" ht="12.75">
      <c r="C746" s="196" t="s">
        <v>371</v>
      </c>
      <c r="D746" s="200">
        <v>0.069</v>
      </c>
      <c r="E746" s="148"/>
      <c r="F746" s="148"/>
      <c r="G746" s="9"/>
      <c r="H746" s="86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59">
        <v>0</v>
      </c>
      <c r="U746" s="161"/>
      <c r="V746" s="162"/>
      <c r="W746" s="255"/>
      <c r="X746" s="32"/>
      <c r="Y746" s="32"/>
      <c r="Z746" s="32"/>
      <c r="AA746" s="172"/>
      <c r="AB746" s="32">
        <v>0.006</v>
      </c>
      <c r="AC746" s="336">
        <f aca="true" t="shared" si="117" ref="AC746:AC756">SUM(AG746:AV746)</f>
        <v>0.063</v>
      </c>
      <c r="AD746" s="33"/>
      <c r="AE746" s="33">
        <f t="shared" si="116"/>
        <v>0.069</v>
      </c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>
        <f>0.052+0.011</f>
        <v>0.063</v>
      </c>
      <c r="AW746" s="33">
        <f aca="true" t="shared" si="118" ref="AW746:AW756">SUM(AG746:AV746)</f>
        <v>0.063</v>
      </c>
    </row>
    <row r="747" spans="3:49" ht="12.75">
      <c r="C747" s="196" t="s">
        <v>372</v>
      </c>
      <c r="D747" s="200">
        <v>0.026</v>
      </c>
      <c r="E747" s="148"/>
      <c r="F747" s="148"/>
      <c r="G747" s="9"/>
      <c r="H747" s="86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59">
        <v>0</v>
      </c>
      <c r="U747" s="161"/>
      <c r="V747" s="162"/>
      <c r="W747" s="255"/>
      <c r="X747" s="32"/>
      <c r="Y747" s="32"/>
      <c r="Z747" s="32"/>
      <c r="AA747" s="172"/>
      <c r="AB747" s="32">
        <f>0.1-0.1</f>
        <v>0</v>
      </c>
      <c r="AC747" s="336">
        <f t="shared" si="117"/>
        <v>0.026</v>
      </c>
      <c r="AD747" s="33"/>
      <c r="AE747" s="33">
        <f t="shared" si="116"/>
        <v>0.026</v>
      </c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>
        <v>0.026</v>
      </c>
      <c r="AT747" s="33"/>
      <c r="AU747" s="33"/>
      <c r="AV747" s="33"/>
      <c r="AW747" s="33">
        <f t="shared" si="118"/>
        <v>0.026</v>
      </c>
    </row>
    <row r="748" spans="3:50" ht="12.75">
      <c r="C748" s="196" t="s">
        <v>373</v>
      </c>
      <c r="D748" s="200">
        <v>0.07</v>
      </c>
      <c r="E748" s="148"/>
      <c r="F748" s="148"/>
      <c r="G748" s="9"/>
      <c r="H748" s="86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59">
        <v>0</v>
      </c>
      <c r="U748" s="161"/>
      <c r="V748" s="162"/>
      <c r="W748" s="255"/>
      <c r="X748" s="32"/>
      <c r="Y748" s="32"/>
      <c r="Z748" s="32"/>
      <c r="AA748" s="172"/>
      <c r="AB748" s="32">
        <v>0.038</v>
      </c>
      <c r="AC748" s="336">
        <f t="shared" si="117"/>
        <v>0.02</v>
      </c>
      <c r="AD748" s="33">
        <v>0.012</v>
      </c>
      <c r="AE748" s="33">
        <f t="shared" si="116"/>
        <v>0.06999999999999999</v>
      </c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>
        <v>0.02</v>
      </c>
      <c r="AU748" s="33"/>
      <c r="AV748" s="33"/>
      <c r="AW748" s="33">
        <f t="shared" si="118"/>
        <v>0.02</v>
      </c>
      <c r="AX748" s="29" t="s">
        <v>396</v>
      </c>
    </row>
    <row r="749" spans="3:50" ht="12.75">
      <c r="C749" s="196" t="s">
        <v>374</v>
      </c>
      <c r="D749" s="200">
        <v>0.009</v>
      </c>
      <c r="E749" s="148"/>
      <c r="F749" s="148"/>
      <c r="G749" s="9"/>
      <c r="H749" s="86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59">
        <v>0</v>
      </c>
      <c r="U749" s="161"/>
      <c r="V749" s="162"/>
      <c r="W749" s="255"/>
      <c r="X749" s="32"/>
      <c r="Y749" s="32"/>
      <c r="Z749" s="32"/>
      <c r="AA749" s="172"/>
      <c r="AB749" s="32">
        <f>0.1-0.1</f>
        <v>0</v>
      </c>
      <c r="AC749" s="336">
        <f t="shared" si="117"/>
        <v>0</v>
      </c>
      <c r="AD749" s="33">
        <v>0.009</v>
      </c>
      <c r="AE749" s="33">
        <f t="shared" si="116"/>
        <v>0.009</v>
      </c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>
        <f t="shared" si="118"/>
        <v>0</v>
      </c>
      <c r="AX749" s="29" t="s">
        <v>396</v>
      </c>
    </row>
    <row r="750" spans="3:49" ht="12.75">
      <c r="C750" s="196" t="s">
        <v>375</v>
      </c>
      <c r="D750" s="200">
        <v>0.004</v>
      </c>
      <c r="E750" s="148"/>
      <c r="F750" s="148"/>
      <c r="G750" s="9"/>
      <c r="H750" s="86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59">
        <v>0</v>
      </c>
      <c r="U750" s="161"/>
      <c r="V750" s="162"/>
      <c r="W750" s="255"/>
      <c r="X750" s="32"/>
      <c r="Y750" s="32"/>
      <c r="Z750" s="32"/>
      <c r="AA750" s="172"/>
      <c r="AB750" s="337">
        <v>0.004</v>
      </c>
      <c r="AC750" s="336">
        <f t="shared" si="117"/>
        <v>0</v>
      </c>
      <c r="AD750" s="33"/>
      <c r="AE750" s="33">
        <f t="shared" si="116"/>
        <v>0.004</v>
      </c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>
        <f t="shared" si="118"/>
        <v>0</v>
      </c>
    </row>
    <row r="751" spans="3:49" ht="12.75">
      <c r="C751" s="213" t="s">
        <v>376</v>
      </c>
      <c r="D751" s="200">
        <v>0.01</v>
      </c>
      <c r="E751" s="148"/>
      <c r="F751" s="148"/>
      <c r="G751" s="9"/>
      <c r="H751" s="86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59">
        <v>0</v>
      </c>
      <c r="U751" s="161"/>
      <c r="V751" s="162"/>
      <c r="W751" s="255"/>
      <c r="X751" s="32"/>
      <c r="Y751" s="32"/>
      <c r="Z751" s="32"/>
      <c r="AA751" s="172"/>
      <c r="AB751" s="337">
        <v>0.01</v>
      </c>
      <c r="AC751" s="336">
        <f t="shared" si="117"/>
        <v>0</v>
      </c>
      <c r="AD751" s="33"/>
      <c r="AE751" s="33">
        <f t="shared" si="116"/>
        <v>0.01</v>
      </c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>
        <f t="shared" si="118"/>
        <v>0</v>
      </c>
    </row>
    <row r="752" spans="3:49" ht="12.75">
      <c r="C752" s="213" t="s">
        <v>377</v>
      </c>
      <c r="D752" s="200">
        <v>0.075</v>
      </c>
      <c r="E752" s="148"/>
      <c r="F752" s="148"/>
      <c r="G752" s="9"/>
      <c r="H752" s="86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59">
        <v>0</v>
      </c>
      <c r="U752" s="161"/>
      <c r="V752" s="162"/>
      <c r="W752" s="255"/>
      <c r="X752" s="32"/>
      <c r="Y752" s="32"/>
      <c r="Z752" s="32"/>
      <c r="AA752" s="172"/>
      <c r="AB752" s="337">
        <v>0.075</v>
      </c>
      <c r="AC752" s="336">
        <f t="shared" si="117"/>
        <v>0</v>
      </c>
      <c r="AD752" s="33"/>
      <c r="AE752" s="33">
        <f t="shared" si="116"/>
        <v>0.075</v>
      </c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>
        <f t="shared" si="118"/>
        <v>0</v>
      </c>
    </row>
    <row r="753" spans="3:49" ht="12.75">
      <c r="C753" s="196" t="s">
        <v>378</v>
      </c>
      <c r="D753" s="200">
        <v>0.018</v>
      </c>
      <c r="E753" s="148"/>
      <c r="F753" s="148"/>
      <c r="G753" s="9">
        <v>0.005</v>
      </c>
      <c r="H753" s="86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59">
        <v>0</v>
      </c>
      <c r="U753" s="161"/>
      <c r="V753" s="162"/>
      <c r="W753" s="255"/>
      <c r="X753" s="32"/>
      <c r="Y753" s="32"/>
      <c r="Z753" s="32"/>
      <c r="AA753" s="172"/>
      <c r="AB753" s="337">
        <v>0.018</v>
      </c>
      <c r="AC753" s="336">
        <f t="shared" si="117"/>
        <v>0</v>
      </c>
      <c r="AD753" s="33"/>
      <c r="AE753" s="33">
        <f t="shared" si="116"/>
        <v>0.018</v>
      </c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>
        <f t="shared" si="118"/>
        <v>0</v>
      </c>
    </row>
    <row r="754" spans="3:49" ht="12.75">
      <c r="C754" s="196" t="s">
        <v>274</v>
      </c>
      <c r="D754" s="200">
        <v>0.001</v>
      </c>
      <c r="E754" s="148"/>
      <c r="F754" s="148"/>
      <c r="G754" s="9">
        <v>0.001</v>
      </c>
      <c r="H754" s="86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59">
        <v>0</v>
      </c>
      <c r="U754" s="161"/>
      <c r="V754" s="162"/>
      <c r="W754" s="255"/>
      <c r="X754" s="32"/>
      <c r="Y754" s="32"/>
      <c r="Z754" s="32"/>
      <c r="AA754" s="172"/>
      <c r="AB754" s="337">
        <v>0.001</v>
      </c>
      <c r="AC754" s="336">
        <f t="shared" si="117"/>
        <v>0</v>
      </c>
      <c r="AD754" s="33"/>
      <c r="AE754" s="33">
        <f t="shared" si="116"/>
        <v>0.001</v>
      </c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>
        <f t="shared" si="118"/>
        <v>0</v>
      </c>
    </row>
    <row r="755" spans="2:49" ht="12.75">
      <c r="B755" s="29" t="s">
        <v>1197</v>
      </c>
      <c r="C755" s="196" t="s">
        <v>379</v>
      </c>
      <c r="D755" s="200">
        <v>0.003</v>
      </c>
      <c r="E755" s="148"/>
      <c r="F755" s="148"/>
      <c r="G755" s="9">
        <v>0.003</v>
      </c>
      <c r="H755" s="86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59">
        <v>0</v>
      </c>
      <c r="U755" s="161"/>
      <c r="V755" s="162"/>
      <c r="W755" s="255"/>
      <c r="X755" s="32"/>
      <c r="Y755" s="32"/>
      <c r="Z755" s="32"/>
      <c r="AA755" s="172"/>
      <c r="AB755" s="337">
        <v>0.003</v>
      </c>
      <c r="AC755" s="336">
        <f t="shared" si="117"/>
        <v>0</v>
      </c>
      <c r="AD755" s="33"/>
      <c r="AE755" s="33">
        <f t="shared" si="116"/>
        <v>0.003</v>
      </c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>
        <f t="shared" si="118"/>
        <v>0</v>
      </c>
    </row>
    <row r="756" spans="2:49" ht="12.75" hidden="1">
      <c r="B756" s="80" t="s">
        <v>200</v>
      </c>
      <c r="C756" s="47"/>
      <c r="D756" s="9"/>
      <c r="E756" s="148"/>
      <c r="F756" s="295"/>
      <c r="G756" s="9"/>
      <c r="H756" s="86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59">
        <v>0</v>
      </c>
      <c r="U756" s="161">
        <f aca="true" t="shared" si="119" ref="U756:U788">IF(SUM(H756:S756)-D756=0,"","adjust profile")</f>
      </c>
      <c r="V756" s="162"/>
      <c r="W756" s="255"/>
      <c r="X756" s="32"/>
      <c r="Y756" s="32"/>
      <c r="Z756" s="32"/>
      <c r="AA756" s="172"/>
      <c r="AB756" s="32"/>
      <c r="AC756" s="336">
        <f t="shared" si="117"/>
        <v>0</v>
      </c>
      <c r="AD756" s="33"/>
      <c r="AE756" s="33">
        <f t="shared" si="116"/>
        <v>0</v>
      </c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>
        <f t="shared" si="118"/>
        <v>0</v>
      </c>
    </row>
    <row r="757" spans="2:49" ht="12.75" hidden="1">
      <c r="B757" s="80" t="s">
        <v>79</v>
      </c>
      <c r="C757" s="47"/>
      <c r="D757" s="9"/>
      <c r="E757" s="148"/>
      <c r="F757" s="295"/>
      <c r="G757" s="9"/>
      <c r="H757" s="86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59">
        <v>0</v>
      </c>
      <c r="U757" s="161">
        <f t="shared" si="119"/>
      </c>
      <c r="V757" s="162"/>
      <c r="W757" s="255"/>
      <c r="X757" s="32"/>
      <c r="Y757" s="32"/>
      <c r="Z757" s="32"/>
      <c r="AA757" s="172"/>
      <c r="AB757" s="32"/>
      <c r="AC757" s="336"/>
      <c r="AD757" s="33"/>
      <c r="AE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</row>
    <row r="758" spans="2:49" ht="12.75" hidden="1">
      <c r="B758" s="80" t="s">
        <v>80</v>
      </c>
      <c r="C758" s="47" t="s">
        <v>1198</v>
      </c>
      <c r="D758" s="9"/>
      <c r="E758" s="148"/>
      <c r="F758" s="295"/>
      <c r="G758" s="9">
        <v>0.001</v>
      </c>
      <c r="H758" s="86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59">
        <v>0</v>
      </c>
      <c r="U758" s="161">
        <f t="shared" si="119"/>
      </c>
      <c r="V758" s="162"/>
      <c r="W758" s="255"/>
      <c r="X758" s="32"/>
      <c r="Y758" s="32"/>
      <c r="Z758" s="32"/>
      <c r="AA758" s="172"/>
      <c r="AB758" s="32"/>
      <c r="AC758" s="336"/>
      <c r="AD758" s="33"/>
      <c r="AE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</row>
    <row r="759" spans="2:49" ht="12.75" hidden="1">
      <c r="B759" s="80" t="s">
        <v>81</v>
      </c>
      <c r="C759" s="47"/>
      <c r="D759" s="9"/>
      <c r="E759" s="148"/>
      <c r="F759" s="295"/>
      <c r="G759" s="9"/>
      <c r="H759" s="86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59">
        <v>0</v>
      </c>
      <c r="U759" s="161">
        <f t="shared" si="119"/>
      </c>
      <c r="V759" s="162"/>
      <c r="W759" s="255"/>
      <c r="X759" s="32"/>
      <c r="Y759" s="32"/>
      <c r="Z759" s="32"/>
      <c r="AA759" s="172"/>
      <c r="AB759" s="32"/>
      <c r="AC759" s="336"/>
      <c r="AD759" s="33"/>
      <c r="AE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</row>
    <row r="760" spans="2:49" ht="12.75" hidden="1">
      <c r="B760" s="80" t="s">
        <v>82</v>
      </c>
      <c r="C760" s="47"/>
      <c r="D760" s="9"/>
      <c r="E760" s="148"/>
      <c r="F760" s="295"/>
      <c r="G760" s="9"/>
      <c r="H760" s="86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59">
        <v>0</v>
      </c>
      <c r="U760" s="161">
        <f t="shared" si="119"/>
      </c>
      <c r="V760" s="162"/>
      <c r="W760" s="255"/>
      <c r="X760" s="32"/>
      <c r="Y760" s="32"/>
      <c r="Z760" s="32"/>
      <c r="AA760" s="172"/>
      <c r="AB760" s="32"/>
      <c r="AC760" s="336"/>
      <c r="AD760" s="33"/>
      <c r="AE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</row>
    <row r="761" spans="2:49" ht="12.75" hidden="1">
      <c r="B761" s="80" t="s">
        <v>83</v>
      </c>
      <c r="C761" s="47"/>
      <c r="D761" s="9"/>
      <c r="E761" s="148"/>
      <c r="F761" s="295"/>
      <c r="G761" s="9"/>
      <c r="H761" s="86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59">
        <v>0</v>
      </c>
      <c r="U761" s="161">
        <f t="shared" si="119"/>
      </c>
      <c r="V761" s="162"/>
      <c r="W761" s="255"/>
      <c r="X761" s="32"/>
      <c r="Y761" s="32"/>
      <c r="Z761" s="32"/>
      <c r="AA761" s="172"/>
      <c r="AB761" s="32"/>
      <c r="AC761" s="336"/>
      <c r="AD761" s="33"/>
      <c r="AE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</row>
    <row r="762" spans="2:49" ht="12.75" hidden="1">
      <c r="B762" s="80" t="s">
        <v>84</v>
      </c>
      <c r="C762" s="47"/>
      <c r="D762" s="9"/>
      <c r="E762" s="148"/>
      <c r="F762" s="295"/>
      <c r="G762" s="9"/>
      <c r="H762" s="86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59">
        <v>0</v>
      </c>
      <c r="U762" s="161">
        <f t="shared" si="119"/>
      </c>
      <c r="V762" s="162"/>
      <c r="W762" s="255"/>
      <c r="X762" s="32"/>
      <c r="Y762" s="32"/>
      <c r="Z762" s="32"/>
      <c r="AA762" s="172"/>
      <c r="AB762" s="32"/>
      <c r="AC762" s="336"/>
      <c r="AD762" s="33"/>
      <c r="AE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</row>
    <row r="763" spans="2:49" ht="12.75" hidden="1">
      <c r="B763" s="80" t="s">
        <v>85</v>
      </c>
      <c r="C763" s="47"/>
      <c r="D763" s="9"/>
      <c r="E763" s="148"/>
      <c r="F763" s="295"/>
      <c r="G763" s="9"/>
      <c r="H763" s="86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59">
        <v>0</v>
      </c>
      <c r="U763" s="161">
        <f t="shared" si="119"/>
      </c>
      <c r="V763" s="162"/>
      <c r="W763" s="255"/>
      <c r="X763" s="32"/>
      <c r="Y763" s="32"/>
      <c r="Z763" s="32"/>
      <c r="AA763" s="172"/>
      <c r="AB763" s="32"/>
      <c r="AC763" s="336"/>
      <c r="AD763" s="33"/>
      <c r="AE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</row>
    <row r="764" spans="2:49" ht="12.75" hidden="1">
      <c r="B764" s="80" t="s">
        <v>86</v>
      </c>
      <c r="C764" s="47"/>
      <c r="D764" s="9"/>
      <c r="E764" s="148"/>
      <c r="F764" s="295"/>
      <c r="G764" s="9"/>
      <c r="H764" s="86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59">
        <v>0</v>
      </c>
      <c r="U764" s="161">
        <f t="shared" si="119"/>
      </c>
      <c r="V764" s="162"/>
      <c r="W764" s="255"/>
      <c r="X764" s="32"/>
      <c r="Y764" s="32"/>
      <c r="Z764" s="32"/>
      <c r="AA764" s="172"/>
      <c r="AB764" s="32"/>
      <c r="AC764" s="336"/>
      <c r="AD764" s="33"/>
      <c r="AE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</row>
    <row r="765" spans="2:49" ht="12.75" hidden="1">
      <c r="B765" s="80" t="s">
        <v>87</v>
      </c>
      <c r="C765" s="47"/>
      <c r="D765" s="9"/>
      <c r="E765" s="148"/>
      <c r="F765" s="295"/>
      <c r="G765" s="9"/>
      <c r="H765" s="86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59">
        <v>0</v>
      </c>
      <c r="U765" s="161">
        <f t="shared" si="119"/>
      </c>
      <c r="V765" s="162"/>
      <c r="W765" s="255"/>
      <c r="X765" s="32"/>
      <c r="Y765" s="32"/>
      <c r="Z765" s="32"/>
      <c r="AA765" s="172"/>
      <c r="AB765" s="32"/>
      <c r="AC765" s="336"/>
      <c r="AD765" s="33"/>
      <c r="AE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</row>
    <row r="766" spans="2:49" ht="12.75" hidden="1">
      <c r="B766" s="80" t="s">
        <v>88</v>
      </c>
      <c r="C766" s="47"/>
      <c r="D766" s="9"/>
      <c r="E766" s="148"/>
      <c r="F766" s="295"/>
      <c r="G766" s="9"/>
      <c r="H766" s="86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59">
        <v>0</v>
      </c>
      <c r="U766" s="161">
        <f t="shared" si="119"/>
      </c>
      <c r="V766" s="162"/>
      <c r="W766" s="255"/>
      <c r="X766" s="32"/>
      <c r="Y766" s="32"/>
      <c r="Z766" s="32"/>
      <c r="AA766" s="172"/>
      <c r="AB766" s="32"/>
      <c r="AC766" s="336"/>
      <c r="AD766" s="33"/>
      <c r="AE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</row>
    <row r="767" spans="2:49" ht="12.75" hidden="1">
      <c r="B767" s="80" t="s">
        <v>89</v>
      </c>
      <c r="C767" s="47"/>
      <c r="D767" s="9"/>
      <c r="E767" s="148"/>
      <c r="F767" s="295"/>
      <c r="G767" s="9"/>
      <c r="H767" s="86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59">
        <v>0</v>
      </c>
      <c r="U767" s="161">
        <f t="shared" si="119"/>
      </c>
      <c r="V767" s="162"/>
      <c r="W767" s="255"/>
      <c r="X767" s="32"/>
      <c r="Y767" s="32"/>
      <c r="Z767" s="32"/>
      <c r="AA767" s="172"/>
      <c r="AB767" s="32"/>
      <c r="AC767" s="336"/>
      <c r="AD767" s="33"/>
      <c r="AE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</row>
    <row r="768" spans="2:49" ht="12.75" hidden="1">
      <c r="B768" s="80" t="s">
        <v>90</v>
      </c>
      <c r="C768" s="47"/>
      <c r="D768" s="9"/>
      <c r="E768" s="148"/>
      <c r="F768" s="295"/>
      <c r="G768" s="9"/>
      <c r="H768" s="86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59">
        <v>0</v>
      </c>
      <c r="U768" s="161">
        <f t="shared" si="119"/>
      </c>
      <c r="V768" s="162"/>
      <c r="W768" s="255"/>
      <c r="X768" s="32"/>
      <c r="Y768" s="32"/>
      <c r="Z768" s="32"/>
      <c r="AA768" s="172"/>
      <c r="AB768" s="32"/>
      <c r="AC768" s="336"/>
      <c r="AD768" s="33"/>
      <c r="AE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</row>
    <row r="769" spans="2:49" ht="12.75" hidden="1">
      <c r="B769" s="80" t="s">
        <v>91</v>
      </c>
      <c r="C769" s="47"/>
      <c r="D769" s="9"/>
      <c r="E769" s="148"/>
      <c r="F769" s="295"/>
      <c r="G769" s="9"/>
      <c r="H769" s="86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59">
        <v>0</v>
      </c>
      <c r="U769" s="161">
        <f t="shared" si="119"/>
      </c>
      <c r="V769" s="162"/>
      <c r="W769" s="255"/>
      <c r="X769" s="32"/>
      <c r="Y769" s="32"/>
      <c r="Z769" s="32"/>
      <c r="AA769" s="172"/>
      <c r="AB769" s="32"/>
      <c r="AC769" s="336"/>
      <c r="AD769" s="33"/>
      <c r="AE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</row>
    <row r="770" spans="2:49" ht="12.75" hidden="1">
      <c r="B770" s="80" t="s">
        <v>92</v>
      </c>
      <c r="C770" s="47"/>
      <c r="D770" s="9"/>
      <c r="E770" s="148"/>
      <c r="F770" s="295"/>
      <c r="G770" s="9"/>
      <c r="H770" s="86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59">
        <v>0</v>
      </c>
      <c r="U770" s="161">
        <f t="shared" si="119"/>
      </c>
      <c r="V770" s="162"/>
      <c r="W770" s="255"/>
      <c r="X770" s="32"/>
      <c r="Y770" s="32"/>
      <c r="Z770" s="32"/>
      <c r="AA770" s="172"/>
      <c r="AB770" s="32"/>
      <c r="AC770" s="336"/>
      <c r="AD770" s="33"/>
      <c r="AE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</row>
    <row r="771" spans="2:49" ht="12.75" hidden="1">
      <c r="B771" s="80" t="s">
        <v>93</v>
      </c>
      <c r="C771" s="47"/>
      <c r="D771" s="9"/>
      <c r="E771" s="148"/>
      <c r="F771" s="295"/>
      <c r="G771" s="9"/>
      <c r="H771" s="86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59">
        <v>0</v>
      </c>
      <c r="U771" s="161">
        <f t="shared" si="119"/>
      </c>
      <c r="V771" s="162"/>
      <c r="W771" s="255"/>
      <c r="X771" s="32"/>
      <c r="Y771" s="32"/>
      <c r="Z771" s="32"/>
      <c r="AA771" s="172"/>
      <c r="AB771" s="32"/>
      <c r="AC771" s="336"/>
      <c r="AD771" s="33"/>
      <c r="AE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</row>
    <row r="772" spans="2:49" ht="12.75" hidden="1">
      <c r="B772" s="80" t="s">
        <v>94</v>
      </c>
      <c r="C772" s="47"/>
      <c r="D772" s="9"/>
      <c r="E772" s="148"/>
      <c r="F772" s="295"/>
      <c r="G772" s="9"/>
      <c r="H772" s="86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59">
        <v>0</v>
      </c>
      <c r="U772" s="161">
        <f t="shared" si="119"/>
      </c>
      <c r="V772" s="162"/>
      <c r="W772" s="255"/>
      <c r="X772" s="32"/>
      <c r="Y772" s="32"/>
      <c r="Z772" s="32"/>
      <c r="AA772" s="172"/>
      <c r="AB772" s="32"/>
      <c r="AC772" s="336"/>
      <c r="AD772" s="33"/>
      <c r="AE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</row>
    <row r="773" spans="2:49" ht="12.75" hidden="1">
      <c r="B773" s="80" t="s">
        <v>95</v>
      </c>
      <c r="C773" s="47"/>
      <c r="D773" s="9"/>
      <c r="E773" s="148"/>
      <c r="F773" s="295"/>
      <c r="G773" s="9"/>
      <c r="H773" s="86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59">
        <v>0</v>
      </c>
      <c r="U773" s="161">
        <f t="shared" si="119"/>
      </c>
      <c r="V773" s="162"/>
      <c r="W773" s="255"/>
      <c r="X773" s="32"/>
      <c r="Y773" s="32"/>
      <c r="Z773" s="32"/>
      <c r="AA773" s="172"/>
      <c r="AB773" s="32"/>
      <c r="AC773" s="336"/>
      <c r="AD773" s="33"/>
      <c r="AE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</row>
    <row r="774" spans="2:49" ht="12.75" hidden="1">
      <c r="B774" s="80" t="s">
        <v>96</v>
      </c>
      <c r="C774" s="47"/>
      <c r="D774" s="9"/>
      <c r="E774" s="148"/>
      <c r="F774" s="295"/>
      <c r="G774" s="9"/>
      <c r="H774" s="86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59">
        <v>0</v>
      </c>
      <c r="U774" s="161">
        <f t="shared" si="119"/>
      </c>
      <c r="V774" s="162"/>
      <c r="W774" s="255"/>
      <c r="X774" s="32"/>
      <c r="Y774" s="32"/>
      <c r="Z774" s="32"/>
      <c r="AA774" s="172"/>
      <c r="AB774" s="32"/>
      <c r="AC774" s="336"/>
      <c r="AD774" s="33"/>
      <c r="AE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</row>
    <row r="775" spans="2:49" ht="12.75" hidden="1">
      <c r="B775" s="80" t="s">
        <v>97</v>
      </c>
      <c r="C775" s="47"/>
      <c r="D775" s="9"/>
      <c r="E775" s="148"/>
      <c r="F775" s="295"/>
      <c r="G775" s="9"/>
      <c r="H775" s="86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59">
        <v>0</v>
      </c>
      <c r="U775" s="161">
        <f t="shared" si="119"/>
      </c>
      <c r="V775" s="162"/>
      <c r="W775" s="255"/>
      <c r="X775" s="32"/>
      <c r="Y775" s="32"/>
      <c r="Z775" s="32"/>
      <c r="AA775" s="172"/>
      <c r="AB775" s="32"/>
      <c r="AC775" s="336"/>
      <c r="AD775" s="33"/>
      <c r="AE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</row>
    <row r="776" spans="2:49" ht="12.75" hidden="1">
      <c r="B776" s="80" t="s">
        <v>98</v>
      </c>
      <c r="C776" s="47"/>
      <c r="D776" s="9"/>
      <c r="E776" s="148"/>
      <c r="F776" s="295"/>
      <c r="G776" s="9"/>
      <c r="H776" s="86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59">
        <v>0</v>
      </c>
      <c r="U776" s="161">
        <f t="shared" si="119"/>
      </c>
      <c r="V776" s="162"/>
      <c r="W776" s="255"/>
      <c r="X776" s="32"/>
      <c r="Y776" s="32"/>
      <c r="Z776" s="32"/>
      <c r="AA776" s="172"/>
      <c r="AB776" s="32"/>
      <c r="AC776" s="336"/>
      <c r="AD776" s="33"/>
      <c r="AE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</row>
    <row r="777" spans="2:49" ht="12.75" hidden="1">
      <c r="B777" s="80" t="s">
        <v>99</v>
      </c>
      <c r="C777" s="47"/>
      <c r="D777" s="9"/>
      <c r="E777" s="148"/>
      <c r="F777" s="295"/>
      <c r="G777" s="9"/>
      <c r="H777" s="86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59">
        <v>0</v>
      </c>
      <c r="U777" s="161">
        <f t="shared" si="119"/>
      </c>
      <c r="V777" s="162"/>
      <c r="W777" s="255"/>
      <c r="X777" s="32"/>
      <c r="Y777" s="32"/>
      <c r="Z777" s="32"/>
      <c r="AA777" s="172"/>
      <c r="AB777" s="32"/>
      <c r="AC777" s="336"/>
      <c r="AD777" s="33"/>
      <c r="AE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</row>
    <row r="778" spans="2:49" ht="12.75" hidden="1">
      <c r="B778" s="80" t="s">
        <v>100</v>
      </c>
      <c r="C778" s="47"/>
      <c r="D778" s="9"/>
      <c r="E778" s="148"/>
      <c r="F778" s="295"/>
      <c r="G778" s="9"/>
      <c r="H778" s="86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59">
        <v>0</v>
      </c>
      <c r="U778" s="161">
        <f t="shared" si="119"/>
      </c>
      <c r="V778" s="162"/>
      <c r="W778" s="255"/>
      <c r="X778" s="32"/>
      <c r="Y778" s="32"/>
      <c r="Z778" s="32"/>
      <c r="AA778" s="172"/>
      <c r="AB778" s="32"/>
      <c r="AC778" s="336"/>
      <c r="AD778" s="33"/>
      <c r="AE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</row>
    <row r="779" spans="2:49" ht="12.75" hidden="1">
      <c r="B779" s="80" t="s">
        <v>101</v>
      </c>
      <c r="C779" s="47"/>
      <c r="D779" s="9"/>
      <c r="E779" s="148"/>
      <c r="F779" s="295"/>
      <c r="G779" s="9"/>
      <c r="H779" s="86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59">
        <v>0</v>
      </c>
      <c r="U779" s="161">
        <f t="shared" si="119"/>
      </c>
      <c r="V779" s="162"/>
      <c r="W779" s="255"/>
      <c r="X779" s="32"/>
      <c r="Y779" s="32"/>
      <c r="Z779" s="32"/>
      <c r="AA779" s="172"/>
      <c r="AB779" s="32"/>
      <c r="AC779" s="336"/>
      <c r="AD779" s="33"/>
      <c r="AE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</row>
    <row r="780" spans="2:49" ht="12.75" hidden="1">
      <c r="B780" s="80" t="s">
        <v>102</v>
      </c>
      <c r="C780" s="47"/>
      <c r="D780" s="9"/>
      <c r="E780" s="148"/>
      <c r="F780" s="295"/>
      <c r="G780" s="9"/>
      <c r="H780" s="86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59">
        <v>0</v>
      </c>
      <c r="U780" s="161">
        <f t="shared" si="119"/>
      </c>
      <c r="V780" s="162"/>
      <c r="W780" s="255"/>
      <c r="X780" s="32"/>
      <c r="Y780" s="32"/>
      <c r="Z780" s="32"/>
      <c r="AA780" s="172"/>
      <c r="AB780" s="32"/>
      <c r="AC780" s="336"/>
      <c r="AD780" s="33"/>
      <c r="AE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</row>
    <row r="781" spans="2:49" ht="12.75" hidden="1">
      <c r="B781" s="80" t="s">
        <v>103</v>
      </c>
      <c r="C781" s="47"/>
      <c r="D781" s="9"/>
      <c r="E781" s="148"/>
      <c r="F781" s="295"/>
      <c r="G781" s="9"/>
      <c r="H781" s="86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59">
        <v>0</v>
      </c>
      <c r="U781" s="161">
        <f t="shared" si="119"/>
      </c>
      <c r="V781" s="162"/>
      <c r="W781" s="255"/>
      <c r="X781" s="32"/>
      <c r="Y781" s="32"/>
      <c r="Z781" s="32"/>
      <c r="AA781" s="172"/>
      <c r="AB781" s="32"/>
      <c r="AC781" s="336"/>
      <c r="AD781" s="33"/>
      <c r="AE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</row>
    <row r="782" spans="2:49" ht="12.75" hidden="1">
      <c r="B782" s="80" t="s">
        <v>104</v>
      </c>
      <c r="C782" s="47"/>
      <c r="D782" s="9"/>
      <c r="E782" s="148"/>
      <c r="F782" s="295"/>
      <c r="G782" s="9"/>
      <c r="H782" s="86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59">
        <v>0</v>
      </c>
      <c r="U782" s="161">
        <f t="shared" si="119"/>
      </c>
      <c r="V782" s="162"/>
      <c r="W782" s="255"/>
      <c r="X782" s="32"/>
      <c r="Y782" s="32"/>
      <c r="Z782" s="32"/>
      <c r="AA782" s="172"/>
      <c r="AB782" s="32"/>
      <c r="AC782" s="336"/>
      <c r="AD782" s="33"/>
      <c r="AE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</row>
    <row r="783" spans="2:49" ht="12.75" hidden="1">
      <c r="B783" s="80" t="s">
        <v>105</v>
      </c>
      <c r="C783" s="47"/>
      <c r="D783" s="9"/>
      <c r="E783" s="148"/>
      <c r="F783" s="295"/>
      <c r="G783" s="9"/>
      <c r="H783" s="86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59">
        <v>0</v>
      </c>
      <c r="U783" s="161">
        <f t="shared" si="119"/>
      </c>
      <c r="V783" s="162"/>
      <c r="W783" s="255"/>
      <c r="X783" s="32"/>
      <c r="Y783" s="32"/>
      <c r="Z783" s="32"/>
      <c r="AA783" s="172"/>
      <c r="AB783" s="32"/>
      <c r="AC783" s="336"/>
      <c r="AD783" s="33"/>
      <c r="AE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</row>
    <row r="784" spans="2:49" ht="12.75" hidden="1">
      <c r="B784" s="80" t="s">
        <v>106</v>
      </c>
      <c r="C784" s="47"/>
      <c r="D784" s="9"/>
      <c r="E784" s="148"/>
      <c r="F784" s="295"/>
      <c r="G784" s="9"/>
      <c r="H784" s="86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59">
        <v>0</v>
      </c>
      <c r="U784" s="161">
        <f t="shared" si="119"/>
      </c>
      <c r="V784" s="162"/>
      <c r="W784" s="255"/>
      <c r="X784" s="32"/>
      <c r="Y784" s="32"/>
      <c r="Z784" s="32"/>
      <c r="AA784" s="172"/>
      <c r="AB784" s="32"/>
      <c r="AC784" s="336"/>
      <c r="AD784" s="33"/>
      <c r="AE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</row>
    <row r="785" spans="2:49" ht="12.75" hidden="1">
      <c r="B785" s="80" t="s">
        <v>107</v>
      </c>
      <c r="C785" s="47"/>
      <c r="D785" s="9"/>
      <c r="E785" s="148"/>
      <c r="F785" s="295"/>
      <c r="G785" s="9"/>
      <c r="H785" s="86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59">
        <v>0</v>
      </c>
      <c r="U785" s="161">
        <f t="shared" si="119"/>
      </c>
      <c r="V785" s="162"/>
      <c r="W785" s="255"/>
      <c r="X785" s="32"/>
      <c r="Y785" s="32"/>
      <c r="Z785" s="32"/>
      <c r="AA785" s="172"/>
      <c r="AB785" s="32"/>
      <c r="AC785" s="336"/>
      <c r="AD785" s="33"/>
      <c r="AE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</row>
    <row r="786" spans="2:49" ht="12.75" hidden="1">
      <c r="B786" s="80" t="s">
        <v>108</v>
      </c>
      <c r="C786" s="47"/>
      <c r="D786" s="9"/>
      <c r="E786" s="148"/>
      <c r="F786" s="295"/>
      <c r="G786" s="9"/>
      <c r="H786" s="86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59">
        <v>0</v>
      </c>
      <c r="U786" s="161">
        <f t="shared" si="119"/>
      </c>
      <c r="V786" s="162"/>
      <c r="W786" s="255"/>
      <c r="X786" s="32"/>
      <c r="Y786" s="32"/>
      <c r="Z786" s="32"/>
      <c r="AA786" s="172"/>
      <c r="AB786" s="32"/>
      <c r="AC786" s="336"/>
      <c r="AD786" s="33"/>
      <c r="AE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</row>
    <row r="787" spans="2:49" ht="12.75" hidden="1">
      <c r="B787" s="80" t="s">
        <v>109</v>
      </c>
      <c r="C787" s="47"/>
      <c r="D787" s="9"/>
      <c r="E787" s="148"/>
      <c r="F787" s="295"/>
      <c r="G787" s="9"/>
      <c r="H787" s="86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59">
        <v>0</v>
      </c>
      <c r="U787" s="161">
        <f t="shared" si="119"/>
      </c>
      <c r="V787" s="162"/>
      <c r="W787" s="255"/>
      <c r="X787" s="32"/>
      <c r="Y787" s="32"/>
      <c r="Z787" s="32"/>
      <c r="AA787" s="172"/>
      <c r="AB787" s="32"/>
      <c r="AC787" s="336"/>
      <c r="AD787" s="33"/>
      <c r="AE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</row>
    <row r="788" spans="2:49" ht="12.75" hidden="1">
      <c r="B788" s="194" t="s">
        <v>299</v>
      </c>
      <c r="C788" s="47" t="s">
        <v>199</v>
      </c>
      <c r="D788" s="5"/>
      <c r="E788" s="285"/>
      <c r="F788" s="295"/>
      <c r="G788" s="9">
        <f>SUM(G757:G787)</f>
        <v>0.001</v>
      </c>
      <c r="H788" s="86">
        <v>0</v>
      </c>
      <c r="I788" s="12">
        <v>0</v>
      </c>
      <c r="J788" s="12">
        <v>0</v>
      </c>
      <c r="K788" s="12">
        <v>0</v>
      </c>
      <c r="L788" s="12"/>
      <c r="M788" s="12"/>
      <c r="N788" s="12"/>
      <c r="O788" s="12"/>
      <c r="P788" s="12"/>
      <c r="Q788" s="12"/>
      <c r="R788" s="12"/>
      <c r="S788" s="12"/>
      <c r="T788" s="159">
        <v>0</v>
      </c>
      <c r="U788" s="161">
        <f t="shared" si="119"/>
      </c>
      <c r="V788" s="162"/>
      <c r="W788" s="255"/>
      <c r="X788" s="32"/>
      <c r="Y788" s="32"/>
      <c r="Z788" s="32"/>
      <c r="AA788" s="172"/>
      <c r="AB788" s="32"/>
      <c r="AC788" s="336">
        <f aca="true" t="shared" si="120" ref="AC788:AC796">SUM(AG788:AV788)</f>
        <v>0</v>
      </c>
      <c r="AD788" s="33"/>
      <c r="AE788" s="33">
        <f aca="true" t="shared" si="121" ref="AE788:AE797">SUM(X788:AD788)</f>
        <v>0</v>
      </c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>
        <f>SUM(AG788:AV788)</f>
        <v>0</v>
      </c>
    </row>
    <row r="789" spans="3:49" ht="12.75">
      <c r="C789" s="196" t="s">
        <v>380</v>
      </c>
      <c r="D789" s="200">
        <v>0.279</v>
      </c>
      <c r="E789" s="148"/>
      <c r="F789" s="148"/>
      <c r="G789" s="9"/>
      <c r="H789" s="86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59">
        <v>0</v>
      </c>
      <c r="U789" s="161"/>
      <c r="V789" s="162"/>
      <c r="W789" s="255"/>
      <c r="X789" s="32"/>
      <c r="Y789" s="32"/>
      <c r="Z789" s="32"/>
      <c r="AA789" s="172"/>
      <c r="AB789" s="337">
        <v>0.279</v>
      </c>
      <c r="AC789" s="336">
        <f t="shared" si="120"/>
        <v>0</v>
      </c>
      <c r="AD789" s="33"/>
      <c r="AE789" s="33">
        <f t="shared" si="121"/>
        <v>0.279</v>
      </c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>
        <f>SUM(AG789:AV789)</f>
        <v>0</v>
      </c>
    </row>
    <row r="790" spans="3:49" ht="12.75">
      <c r="C790" s="196" t="s">
        <v>381</v>
      </c>
      <c r="D790" s="200">
        <v>0.001</v>
      </c>
      <c r="E790" s="148"/>
      <c r="F790" s="148"/>
      <c r="G790" s="9"/>
      <c r="H790" s="86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59">
        <v>0</v>
      </c>
      <c r="U790" s="161"/>
      <c r="V790" s="162"/>
      <c r="W790" s="255"/>
      <c r="X790" s="32"/>
      <c r="Y790" s="32"/>
      <c r="Z790" s="32"/>
      <c r="AA790" s="172"/>
      <c r="AB790" s="337">
        <v>0.001</v>
      </c>
      <c r="AC790" s="336">
        <f t="shared" si="120"/>
        <v>0</v>
      </c>
      <c r="AD790" s="33"/>
      <c r="AE790" s="33">
        <f t="shared" si="121"/>
        <v>0.001</v>
      </c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>
        <f>SUM(AG790:AV790)</f>
        <v>0</v>
      </c>
    </row>
    <row r="791" spans="3:49" ht="12.75">
      <c r="C791" s="196" t="s">
        <v>1182</v>
      </c>
      <c r="D791" s="200"/>
      <c r="E791" s="148"/>
      <c r="F791" s="148"/>
      <c r="G791" s="9">
        <v>0.096</v>
      </c>
      <c r="H791" s="86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59">
        <v>0</v>
      </c>
      <c r="U791" s="161"/>
      <c r="V791" s="162"/>
      <c r="W791" s="255"/>
      <c r="X791" s="32"/>
      <c r="Y791" s="32"/>
      <c r="Z791" s="32"/>
      <c r="AA791" s="172"/>
      <c r="AB791" s="337"/>
      <c r="AC791" s="336">
        <f t="shared" si="120"/>
        <v>0</v>
      </c>
      <c r="AD791" s="33"/>
      <c r="AE791" s="33">
        <f t="shared" si="121"/>
        <v>0</v>
      </c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</row>
    <row r="792" spans="3:49" ht="12.75">
      <c r="C792" s="47" t="s">
        <v>153</v>
      </c>
      <c r="D792" s="183">
        <v>0.03</v>
      </c>
      <c r="E792" s="294"/>
      <c r="F792" s="295"/>
      <c r="G792" s="9">
        <v>0.002</v>
      </c>
      <c r="H792" s="86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59">
        <v>0</v>
      </c>
      <c r="U792" s="161" t="str">
        <f>IF(SUM(H792:S792)-D792=0,"","adjust profile")</f>
        <v>adjust profile</v>
      </c>
      <c r="V792" s="162"/>
      <c r="W792" s="255"/>
      <c r="X792" s="32"/>
      <c r="Y792" s="32"/>
      <c r="Z792" s="32"/>
      <c r="AA792" s="172"/>
      <c r="AB792" s="32"/>
      <c r="AC792" s="336">
        <f t="shared" si="120"/>
        <v>0.03</v>
      </c>
      <c r="AD792" s="33"/>
      <c r="AE792" s="33">
        <f t="shared" si="121"/>
        <v>0.03</v>
      </c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>
        <v>0.03</v>
      </c>
      <c r="AR792" s="33"/>
      <c r="AS792" s="33"/>
      <c r="AT792" s="33"/>
      <c r="AU792" s="33"/>
      <c r="AV792" s="33"/>
      <c r="AW792" s="33">
        <f>SUM(AG792:AV792)</f>
        <v>0.03</v>
      </c>
    </row>
    <row r="793" spans="3:49" ht="13.5" customHeight="1">
      <c r="C793" s="47" t="s">
        <v>264</v>
      </c>
      <c r="D793" s="183">
        <v>0.01</v>
      </c>
      <c r="E793" s="294"/>
      <c r="F793" s="295"/>
      <c r="G793" s="9"/>
      <c r="H793" s="86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59">
        <v>0</v>
      </c>
      <c r="U793" s="161" t="str">
        <f>IF(SUM(H793:S793)-D793=0,"","adjust profile")</f>
        <v>adjust profile</v>
      </c>
      <c r="V793" s="162"/>
      <c r="W793" s="255"/>
      <c r="X793" s="32"/>
      <c r="Y793" s="32"/>
      <c r="Z793" s="32"/>
      <c r="AA793" s="32"/>
      <c r="AB793" s="32"/>
      <c r="AC793" s="32">
        <f t="shared" si="120"/>
        <v>0.01</v>
      </c>
      <c r="AD793" s="33"/>
      <c r="AE793" s="33">
        <f t="shared" si="121"/>
        <v>0.01</v>
      </c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>
        <v>0.01</v>
      </c>
      <c r="AR793" s="33"/>
      <c r="AS793" s="33"/>
      <c r="AT793" s="33"/>
      <c r="AU793" s="33"/>
      <c r="AV793" s="33"/>
      <c r="AW793" s="33">
        <f>SUM(AG793:AV793)</f>
        <v>0.01</v>
      </c>
    </row>
    <row r="794" spans="3:49" ht="12.75">
      <c r="C794" s="47" t="s">
        <v>155</v>
      </c>
      <c r="D794" s="183">
        <v>0.006</v>
      </c>
      <c r="E794" s="294"/>
      <c r="F794" s="295"/>
      <c r="G794" s="9"/>
      <c r="H794" s="86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59">
        <v>0</v>
      </c>
      <c r="U794" s="161" t="str">
        <f>IF(SUM(H794:S794)-D794=0,"","adjust profile")</f>
        <v>adjust profile</v>
      </c>
      <c r="V794" s="162"/>
      <c r="W794" s="255"/>
      <c r="X794" s="32"/>
      <c r="Y794" s="32"/>
      <c r="Z794" s="32"/>
      <c r="AA794" s="32"/>
      <c r="AB794" s="32"/>
      <c r="AC794" s="32">
        <f t="shared" si="120"/>
        <v>0.006</v>
      </c>
      <c r="AD794" s="33"/>
      <c r="AE794" s="33">
        <f t="shared" si="121"/>
        <v>0.006</v>
      </c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>
        <v>0.006</v>
      </c>
      <c r="AR794" s="33"/>
      <c r="AS794" s="33"/>
      <c r="AT794" s="33"/>
      <c r="AU794" s="33"/>
      <c r="AV794" s="33"/>
      <c r="AW794" s="33">
        <f>SUM(AG794:AV794)</f>
        <v>0.006</v>
      </c>
    </row>
    <row r="795" spans="2:49" ht="12.75">
      <c r="B795" s="23"/>
      <c r="C795" s="314" t="s">
        <v>1199</v>
      </c>
      <c r="D795" s="182"/>
      <c r="E795" s="285"/>
      <c r="F795" s="285"/>
      <c r="G795" s="22">
        <v>0.013</v>
      </c>
      <c r="H795" s="86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59">
        <v>0</v>
      </c>
      <c r="U795" s="161"/>
      <c r="V795" s="162"/>
      <c r="W795" s="255"/>
      <c r="X795" s="32"/>
      <c r="Y795" s="32"/>
      <c r="Z795" s="32"/>
      <c r="AA795" s="32"/>
      <c r="AB795" s="32"/>
      <c r="AC795" s="32">
        <f t="shared" si="120"/>
        <v>0</v>
      </c>
      <c r="AD795" s="33"/>
      <c r="AE795" s="33">
        <f t="shared" si="121"/>
        <v>0</v>
      </c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</row>
    <row r="796" spans="1:49" ht="13.5" thickBot="1">
      <c r="A796" s="29" t="s">
        <v>301</v>
      </c>
      <c r="B796" s="23"/>
      <c r="C796" s="79"/>
      <c r="D796" s="22"/>
      <c r="E796" s="294"/>
      <c r="F796" s="295"/>
      <c r="G796" s="22"/>
      <c r="H796" s="86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59"/>
      <c r="U796" s="161">
        <f>IF(SUM(H796:S796)-D796=0,"","adjust profile")</f>
      </c>
      <c r="V796" s="162"/>
      <c r="W796" s="255"/>
      <c r="X796" s="32"/>
      <c r="Y796" s="32"/>
      <c r="Z796" s="32"/>
      <c r="AA796" s="32">
        <f>0.034-0.034</f>
        <v>0</v>
      </c>
      <c r="AB796" s="32"/>
      <c r="AC796" s="32">
        <f t="shared" si="120"/>
        <v>0</v>
      </c>
      <c r="AD796" s="33">
        <f>0.015-0.015</f>
        <v>0</v>
      </c>
      <c r="AE796" s="33">
        <f t="shared" si="121"/>
        <v>0</v>
      </c>
      <c r="AG796" s="33"/>
      <c r="AH796" s="33"/>
      <c r="AI796" s="33"/>
      <c r="AJ796" s="33">
        <f>0.169-0.169</f>
        <v>0</v>
      </c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>
        <f>SUM(AG796:AV796)</f>
        <v>0</v>
      </c>
    </row>
    <row r="797" spans="2:49" ht="13.5" thickBot="1">
      <c r="B797" s="80"/>
      <c r="C797" s="7" t="s">
        <v>350</v>
      </c>
      <c r="D797" s="21">
        <f>SUM(D673:D796)</f>
        <v>14.442999999999996</v>
      </c>
      <c r="E797" s="292"/>
      <c r="F797" s="293"/>
      <c r="G797" s="21">
        <f>SUM(G673:G796)-G722-G741-G788</f>
        <v>1.0130000000000001</v>
      </c>
      <c r="H797" s="92">
        <f aca="true" t="shared" si="122" ref="H797:T797">SUM(H673:H796)</f>
        <v>0.08600000000000002</v>
      </c>
      <c r="I797" s="93">
        <f t="shared" si="122"/>
        <v>0</v>
      </c>
      <c r="J797" s="93">
        <f t="shared" si="122"/>
        <v>0.074</v>
      </c>
      <c r="K797" s="93">
        <f t="shared" si="122"/>
        <v>0.759</v>
      </c>
      <c r="L797" s="93">
        <f t="shared" si="122"/>
        <v>0.075</v>
      </c>
      <c r="M797" s="93">
        <f t="shared" si="122"/>
        <v>0.163</v>
      </c>
      <c r="N797" s="93">
        <f t="shared" si="122"/>
        <v>0.113</v>
      </c>
      <c r="O797" s="93">
        <f t="shared" si="122"/>
        <v>0.113</v>
      </c>
      <c r="P797" s="93">
        <f t="shared" si="122"/>
        <v>0</v>
      </c>
      <c r="Q797" s="93">
        <f t="shared" si="122"/>
        <v>0</v>
      </c>
      <c r="R797" s="93">
        <f t="shared" si="122"/>
        <v>0</v>
      </c>
      <c r="S797" s="93">
        <f t="shared" si="122"/>
        <v>0.013</v>
      </c>
      <c r="T797" s="330">
        <f t="shared" si="122"/>
        <v>2.1506666666666665</v>
      </c>
      <c r="U797" s="161" t="str">
        <f>IF(SUM(H797:S797)-D797=0,"","adjust profile")</f>
        <v>adjust profile</v>
      </c>
      <c r="V797" s="162"/>
      <c r="W797" s="255"/>
      <c r="X797" s="26">
        <f aca="true" t="shared" si="123" ref="X797:AD797">SUM(X673:X796)</f>
        <v>0</v>
      </c>
      <c r="Y797" s="26">
        <f t="shared" si="123"/>
        <v>0</v>
      </c>
      <c r="Z797" s="26">
        <f t="shared" si="123"/>
        <v>7.476999999999999</v>
      </c>
      <c r="AA797" s="26">
        <f t="shared" si="123"/>
        <v>0.099</v>
      </c>
      <c r="AB797" s="26">
        <f>SUM(AB673:AB796)</f>
        <v>4.024999999999999</v>
      </c>
      <c r="AC797" s="26">
        <f t="shared" si="123"/>
        <v>2.3809999999999993</v>
      </c>
      <c r="AD797" s="26">
        <f t="shared" si="123"/>
        <v>0.4610000000000001</v>
      </c>
      <c r="AE797" s="26">
        <f t="shared" si="121"/>
        <v>14.443</v>
      </c>
      <c r="AG797" s="26">
        <f aca="true" t="shared" si="124" ref="AG797:AV797">SUM(AG673:AG796)</f>
        <v>0</v>
      </c>
      <c r="AH797" s="26">
        <f t="shared" si="124"/>
        <v>0</v>
      </c>
      <c r="AI797" s="26">
        <f t="shared" si="124"/>
        <v>0</v>
      </c>
      <c r="AJ797" s="26">
        <f t="shared" si="124"/>
        <v>0.174</v>
      </c>
      <c r="AK797" s="26">
        <f t="shared" si="124"/>
        <v>0</v>
      </c>
      <c r="AL797" s="26">
        <f t="shared" si="124"/>
        <v>0</v>
      </c>
      <c r="AM797" s="26">
        <f t="shared" si="124"/>
        <v>0</v>
      </c>
      <c r="AN797" s="26">
        <f t="shared" si="124"/>
        <v>0</v>
      </c>
      <c r="AO797" s="26">
        <f t="shared" si="124"/>
        <v>0</v>
      </c>
      <c r="AP797" s="26">
        <f t="shared" si="124"/>
        <v>1</v>
      </c>
      <c r="AQ797" s="26">
        <f t="shared" si="124"/>
        <v>0.046</v>
      </c>
      <c r="AR797" s="26">
        <f t="shared" si="124"/>
        <v>0</v>
      </c>
      <c r="AS797" s="26">
        <f t="shared" si="124"/>
        <v>0.85</v>
      </c>
      <c r="AT797" s="26">
        <f t="shared" si="124"/>
        <v>0.02</v>
      </c>
      <c r="AU797" s="26">
        <f t="shared" si="124"/>
        <v>0</v>
      </c>
      <c r="AV797" s="26">
        <f t="shared" si="124"/>
        <v>0.291</v>
      </c>
      <c r="AW797" s="36">
        <f>SUM(AG797:AV797)</f>
        <v>2.381</v>
      </c>
    </row>
    <row r="798" spans="2:49" ht="13.5" thickBot="1">
      <c r="B798" s="80"/>
      <c r="C798" s="5"/>
      <c r="D798" s="20"/>
      <c r="F798" s="284"/>
      <c r="G798" s="170"/>
      <c r="H798" s="85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12"/>
      <c r="T798" s="162"/>
      <c r="U798" s="161">
        <f>IF(SUM(H798:S798)-D798=0,"","adjust profile")</f>
      </c>
      <c r="V798" s="162"/>
      <c r="W798" s="255"/>
      <c r="X798" s="32"/>
      <c r="Y798" s="32"/>
      <c r="Z798" s="32"/>
      <c r="AA798" s="32"/>
      <c r="AB798" s="32"/>
      <c r="AC798" s="32"/>
      <c r="AD798" s="33"/>
      <c r="AE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</row>
    <row r="799" spans="2:49" ht="13.5" thickBot="1">
      <c r="B799" s="80"/>
      <c r="C799" s="25" t="s">
        <v>339</v>
      </c>
      <c r="D799" s="21">
        <f>D371+D400+D515+D544+D566+D607+D630+D670+D797</f>
        <v>125.27700000000002</v>
      </c>
      <c r="E799" s="292"/>
      <c r="F799" s="293"/>
      <c r="G799" s="21">
        <f aca="true" t="shared" si="125" ref="G799:S799">G371+G400+G515+G544+G566+G607+G630+G670+G797</f>
        <v>7.137999999999998</v>
      </c>
      <c r="H799" s="49">
        <f t="shared" si="125"/>
        <v>1.695</v>
      </c>
      <c r="I799" s="94">
        <f t="shared" si="125"/>
        <v>0.9580000000000001</v>
      </c>
      <c r="J799" s="94">
        <f t="shared" si="125"/>
        <v>2.0009999999999994</v>
      </c>
      <c r="K799" s="94">
        <f t="shared" si="125"/>
        <v>2.425</v>
      </c>
      <c r="L799" s="94">
        <f t="shared" si="125"/>
        <v>1.898</v>
      </c>
      <c r="M799" s="94">
        <f t="shared" si="125"/>
        <v>4.959</v>
      </c>
      <c r="N799" s="94">
        <f t="shared" si="125"/>
        <v>2.4199999999999995</v>
      </c>
      <c r="O799" s="94">
        <f t="shared" si="125"/>
        <v>2.4679999999999995</v>
      </c>
      <c r="P799" s="94">
        <f t="shared" si="125"/>
        <v>1.527</v>
      </c>
      <c r="Q799" s="94">
        <f t="shared" si="125"/>
        <v>1.7659999999999998</v>
      </c>
      <c r="R799" s="94">
        <f t="shared" si="125"/>
        <v>2.0089999999999995</v>
      </c>
      <c r="S799" s="94">
        <f t="shared" si="125"/>
        <v>8.563999999999998</v>
      </c>
      <c r="T799" s="206">
        <f>D799/12</f>
        <v>10.439750000000002</v>
      </c>
      <c r="U799" s="161" t="str">
        <f>IF(SUM(H799:S799)-D799=0,"","adjust profile")</f>
        <v>adjust profile</v>
      </c>
      <c r="V799" s="162"/>
      <c r="W799" s="255"/>
      <c r="X799" s="173">
        <f aca="true" t="shared" si="126" ref="X799:AE799">X371+X400+X515+X544+X566+X607+X630+X670+X797</f>
        <v>10.265000000000002</v>
      </c>
      <c r="Y799" s="21">
        <f t="shared" si="126"/>
        <v>1.827</v>
      </c>
      <c r="Z799" s="21">
        <f t="shared" si="126"/>
        <v>14.334999999999999</v>
      </c>
      <c r="AA799" s="21">
        <f t="shared" si="126"/>
        <v>1.288</v>
      </c>
      <c r="AB799" s="21">
        <f t="shared" si="126"/>
        <v>19.316000000000003</v>
      </c>
      <c r="AC799" s="21">
        <f t="shared" si="126"/>
        <v>75.11800000000001</v>
      </c>
      <c r="AD799" s="21">
        <f t="shared" si="126"/>
        <v>3.128</v>
      </c>
      <c r="AE799" s="349">
        <f t="shared" si="126"/>
        <v>125.27700000000002</v>
      </c>
      <c r="AG799" s="21">
        <f aca="true" t="shared" si="127" ref="AG799:AW799">AG371+AG400+AG515+AG544+AG566+AG607+AG630+AG670+AG797</f>
        <v>9.009</v>
      </c>
      <c r="AH799" s="21">
        <f t="shared" si="127"/>
        <v>1</v>
      </c>
      <c r="AI799" s="21">
        <f t="shared" si="127"/>
        <v>3.562</v>
      </c>
      <c r="AJ799" s="21">
        <f t="shared" si="127"/>
        <v>3.915</v>
      </c>
      <c r="AK799" s="21">
        <f t="shared" si="127"/>
        <v>0</v>
      </c>
      <c r="AL799" s="21">
        <f t="shared" si="127"/>
        <v>2.606</v>
      </c>
      <c r="AM799" s="21">
        <f t="shared" si="127"/>
        <v>0.103</v>
      </c>
      <c r="AN799" s="21">
        <f t="shared" si="127"/>
        <v>0.73</v>
      </c>
      <c r="AO799" s="21">
        <f t="shared" si="127"/>
        <v>1.362</v>
      </c>
      <c r="AP799" s="21">
        <f t="shared" si="127"/>
        <v>4.094</v>
      </c>
      <c r="AQ799" s="21">
        <f t="shared" si="127"/>
        <v>5.079000000000001</v>
      </c>
      <c r="AR799" s="21">
        <f t="shared" si="127"/>
        <v>2.95</v>
      </c>
      <c r="AS799" s="21">
        <f t="shared" si="127"/>
        <v>0.85</v>
      </c>
      <c r="AT799" s="21">
        <f t="shared" si="127"/>
        <v>21</v>
      </c>
      <c r="AU799" s="21">
        <f t="shared" si="127"/>
        <v>0</v>
      </c>
      <c r="AV799" s="21">
        <f t="shared" si="127"/>
        <v>18.857999999999997</v>
      </c>
      <c r="AW799" s="21">
        <f t="shared" si="127"/>
        <v>75.11800000000001</v>
      </c>
    </row>
    <row r="800" spans="2:49" ht="12.75">
      <c r="B800" s="80"/>
      <c r="C800" s="3" t="s">
        <v>178</v>
      </c>
      <c r="D800" s="13"/>
      <c r="E800" s="146"/>
      <c r="F800" s="146"/>
      <c r="G800" s="13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3"/>
      <c r="U800" s="162"/>
      <c r="V800" s="162"/>
      <c r="W800" s="255"/>
      <c r="X800" s="198">
        <v>0.2</v>
      </c>
      <c r="Y800" s="13"/>
      <c r="Z800" s="13"/>
      <c r="AA800" s="13"/>
      <c r="AB800" s="13">
        <v>-0.2</v>
      </c>
      <c r="AC800" s="13"/>
      <c r="AD800" s="13"/>
      <c r="AE800" s="131">
        <f>SUM(X800:AD800)</f>
        <v>0</v>
      </c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</row>
    <row r="801" spans="2:49" ht="12.75">
      <c r="B801" s="80"/>
      <c r="C801" s="5" t="s">
        <v>638</v>
      </c>
      <c r="D801" s="7"/>
      <c r="E801" s="304"/>
      <c r="F801" s="304"/>
      <c r="G801" s="7"/>
      <c r="H801" s="6"/>
      <c r="T801" s="5"/>
      <c r="U801" s="162"/>
      <c r="V801" s="162"/>
      <c r="W801" s="255"/>
      <c r="X801" s="259">
        <v>0.315</v>
      </c>
      <c r="Y801" s="7"/>
      <c r="Z801" s="7"/>
      <c r="AA801" s="7"/>
      <c r="AB801" s="7">
        <v>-0.315</v>
      </c>
      <c r="AC801" s="7"/>
      <c r="AD801" s="7"/>
      <c r="AE801" s="131">
        <f>SUM(X801:AD801)</f>
        <v>0</v>
      </c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</row>
    <row r="802" spans="2:49" ht="13.5" thickBot="1">
      <c r="B802" s="80"/>
      <c r="C802" s="27" t="s">
        <v>177</v>
      </c>
      <c r="D802" s="197"/>
      <c r="E802" s="281"/>
      <c r="F802" s="281"/>
      <c r="G802" s="197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27"/>
      <c r="X802" s="199">
        <v>6.8</v>
      </c>
      <c r="Y802" s="197"/>
      <c r="Z802" s="197"/>
      <c r="AA802" s="197"/>
      <c r="AB802" s="197">
        <v>-6.8</v>
      </c>
      <c r="AC802" s="197"/>
      <c r="AD802" s="197"/>
      <c r="AE802" s="132">
        <f>SUM(X802:AD802)</f>
        <v>0</v>
      </c>
      <c r="AG802" s="197"/>
      <c r="AH802" s="197"/>
      <c r="AI802" s="197"/>
      <c r="AJ802" s="197"/>
      <c r="AK802" s="197"/>
      <c r="AL802" s="197"/>
      <c r="AM802" s="197"/>
      <c r="AN802" s="197"/>
      <c r="AO802" s="197"/>
      <c r="AP802" s="197"/>
      <c r="AQ802" s="197"/>
      <c r="AR802" s="197"/>
      <c r="AS802" s="197"/>
      <c r="AT802" s="197"/>
      <c r="AU802" s="197"/>
      <c r="AV802" s="197"/>
      <c r="AW802" s="197"/>
    </row>
    <row r="803" spans="2:49" ht="13.5" thickBot="1">
      <c r="B803" s="80"/>
      <c r="C803" s="151" t="s">
        <v>319</v>
      </c>
      <c r="D803" s="21"/>
      <c r="E803" s="292"/>
      <c r="F803" s="293"/>
      <c r="G803" s="21"/>
      <c r="H803" s="49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5"/>
      <c r="T803" s="95"/>
      <c r="X803" s="173">
        <f aca="true" t="shared" si="128" ref="X803:AC803">X821</f>
        <v>0</v>
      </c>
      <c r="Y803" s="21">
        <f t="shared" si="128"/>
        <v>0</v>
      </c>
      <c r="Z803" s="21">
        <f t="shared" si="128"/>
        <v>0</v>
      </c>
      <c r="AA803" s="21">
        <f t="shared" si="128"/>
        <v>0</v>
      </c>
      <c r="AB803" s="21">
        <f t="shared" si="128"/>
        <v>0</v>
      </c>
      <c r="AC803" s="21">
        <f t="shared" si="128"/>
        <v>0</v>
      </c>
      <c r="AD803" s="21">
        <f>AD821</f>
        <v>0</v>
      </c>
      <c r="AE803" s="349">
        <f>AE821</f>
        <v>0</v>
      </c>
      <c r="AG803" s="21">
        <f>AG821</f>
        <v>0</v>
      </c>
      <c r="AH803" s="21">
        <f aca="true" t="shared" si="129" ref="AH803:AW803">AH821</f>
        <v>0</v>
      </c>
      <c r="AI803" s="21">
        <f t="shared" si="129"/>
        <v>0</v>
      </c>
      <c r="AJ803" s="21">
        <f t="shared" si="129"/>
        <v>0</v>
      </c>
      <c r="AK803" s="21">
        <f t="shared" si="129"/>
        <v>0</v>
      </c>
      <c r="AL803" s="21">
        <f t="shared" si="129"/>
        <v>0</v>
      </c>
      <c r="AM803" s="21">
        <f t="shared" si="129"/>
        <v>0</v>
      </c>
      <c r="AN803" s="21">
        <f t="shared" si="129"/>
        <v>0</v>
      </c>
      <c r="AO803" s="21">
        <f t="shared" si="129"/>
        <v>0</v>
      </c>
      <c r="AP803" s="21">
        <f t="shared" si="129"/>
        <v>0</v>
      </c>
      <c r="AQ803" s="21">
        <f t="shared" si="129"/>
        <v>0</v>
      </c>
      <c r="AR803" s="21">
        <f t="shared" si="129"/>
        <v>0</v>
      </c>
      <c r="AS803" s="21">
        <f t="shared" si="129"/>
        <v>0</v>
      </c>
      <c r="AT803" s="21">
        <f t="shared" si="129"/>
        <v>0</v>
      </c>
      <c r="AU803" s="21">
        <f t="shared" si="129"/>
        <v>0</v>
      </c>
      <c r="AV803" s="21">
        <f t="shared" si="129"/>
        <v>0</v>
      </c>
      <c r="AW803" s="21">
        <f t="shared" si="129"/>
        <v>0</v>
      </c>
    </row>
    <row r="804" spans="3:49" ht="13.5" thickBot="1">
      <c r="C804" s="25" t="s">
        <v>300</v>
      </c>
      <c r="D804" s="21">
        <f>SUM(D799:D803)</f>
        <v>125.27700000000002</v>
      </c>
      <c r="E804" s="292"/>
      <c r="F804" s="293"/>
      <c r="G804" s="21">
        <f>SUM(G799:G803)</f>
        <v>7.137999999999998</v>
      </c>
      <c r="H804" s="49">
        <f>H799</f>
        <v>1.695</v>
      </c>
      <c r="I804" s="94">
        <f>I799</f>
        <v>0.9580000000000001</v>
      </c>
      <c r="J804" s="94">
        <f>J799</f>
        <v>2.0009999999999994</v>
      </c>
      <c r="K804" s="94">
        <f aca="true" t="shared" si="130" ref="K804:T804">K799</f>
        <v>2.425</v>
      </c>
      <c r="L804" s="94">
        <f t="shared" si="130"/>
        <v>1.898</v>
      </c>
      <c r="M804" s="94">
        <f t="shared" si="130"/>
        <v>4.959</v>
      </c>
      <c r="N804" s="94">
        <f t="shared" si="130"/>
        <v>2.4199999999999995</v>
      </c>
      <c r="O804" s="94">
        <f t="shared" si="130"/>
        <v>2.4679999999999995</v>
      </c>
      <c r="P804" s="94">
        <f t="shared" si="130"/>
        <v>1.527</v>
      </c>
      <c r="Q804" s="94">
        <f t="shared" si="130"/>
        <v>1.7659999999999998</v>
      </c>
      <c r="R804" s="94">
        <f t="shared" si="130"/>
        <v>2.0089999999999995</v>
      </c>
      <c r="S804" s="94">
        <f t="shared" si="130"/>
        <v>8.563999999999998</v>
      </c>
      <c r="T804" s="208">
        <f t="shared" si="130"/>
        <v>10.439750000000002</v>
      </c>
      <c r="X804" s="173">
        <f>SUM(X799:X803)</f>
        <v>17.580000000000002</v>
      </c>
      <c r="Y804" s="21">
        <f aca="true" t="shared" si="131" ref="Y804:AE804">SUM(Y799:Y803)</f>
        <v>1.827</v>
      </c>
      <c r="Z804" s="21">
        <f t="shared" si="131"/>
        <v>14.334999999999999</v>
      </c>
      <c r="AA804" s="21">
        <f t="shared" si="131"/>
        <v>1.288</v>
      </c>
      <c r="AB804" s="21">
        <f t="shared" si="131"/>
        <v>12.001000000000001</v>
      </c>
      <c r="AC804" s="21">
        <f t="shared" si="131"/>
        <v>75.11800000000001</v>
      </c>
      <c r="AD804" s="21">
        <f t="shared" si="131"/>
        <v>3.128</v>
      </c>
      <c r="AE804" s="349">
        <f t="shared" si="131"/>
        <v>125.27700000000002</v>
      </c>
      <c r="AG804" s="21">
        <f aca="true" t="shared" si="132" ref="AG804:AV804">SUM(AG799:AG803)</f>
        <v>9.009</v>
      </c>
      <c r="AH804" s="21">
        <f t="shared" si="132"/>
        <v>1</v>
      </c>
      <c r="AI804" s="21">
        <f t="shared" si="132"/>
        <v>3.562</v>
      </c>
      <c r="AJ804" s="21">
        <f t="shared" si="132"/>
        <v>3.915</v>
      </c>
      <c r="AK804" s="21">
        <f t="shared" si="132"/>
        <v>0</v>
      </c>
      <c r="AL804" s="21">
        <f t="shared" si="132"/>
        <v>2.606</v>
      </c>
      <c r="AM804" s="21">
        <f t="shared" si="132"/>
        <v>0.103</v>
      </c>
      <c r="AN804" s="21">
        <f t="shared" si="132"/>
        <v>0.73</v>
      </c>
      <c r="AO804" s="21">
        <f t="shared" si="132"/>
        <v>1.362</v>
      </c>
      <c r="AP804" s="21">
        <f t="shared" si="132"/>
        <v>4.094</v>
      </c>
      <c r="AQ804" s="21">
        <f t="shared" si="132"/>
        <v>5.079000000000001</v>
      </c>
      <c r="AR804" s="21">
        <f t="shared" si="132"/>
        <v>2.95</v>
      </c>
      <c r="AS804" s="21">
        <f t="shared" si="132"/>
        <v>0.85</v>
      </c>
      <c r="AT804" s="21">
        <f t="shared" si="132"/>
        <v>21</v>
      </c>
      <c r="AU804" s="21">
        <f t="shared" si="132"/>
        <v>0</v>
      </c>
      <c r="AV804" s="21">
        <f t="shared" si="132"/>
        <v>18.857999999999997</v>
      </c>
      <c r="AW804" s="21">
        <f>SUM(AW799:AW803)</f>
        <v>75.11800000000001</v>
      </c>
    </row>
    <row r="805" spans="3:49" ht="12.75">
      <c r="C805" s="151" t="s">
        <v>1244</v>
      </c>
      <c r="D805" s="264"/>
      <c r="F805" s="304"/>
      <c r="G805" s="10"/>
      <c r="H805" s="6"/>
      <c r="X805" s="10"/>
      <c r="Y805" s="10"/>
      <c r="Z805" s="10"/>
      <c r="AA805" s="10"/>
      <c r="AB805" s="10"/>
      <c r="AC805" s="10"/>
      <c r="AD805" s="10"/>
      <c r="AE805" s="35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</row>
    <row r="806" spans="3:49" ht="12.75" hidden="1">
      <c r="C806" s="151"/>
      <c r="D806" s="10"/>
      <c r="E806" s="304"/>
      <c r="F806" s="304"/>
      <c r="G806" s="10"/>
      <c r="H806" s="6"/>
      <c r="X806" s="10"/>
      <c r="Y806" s="10"/>
      <c r="Z806" s="10"/>
      <c r="AA806" s="10"/>
      <c r="AB806" s="10"/>
      <c r="AC806" s="10"/>
      <c r="AD806" s="10"/>
      <c r="AE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</row>
    <row r="807" spans="3:49" ht="12.75" hidden="1">
      <c r="C807" s="151"/>
      <c r="D807" s="10"/>
      <c r="E807" s="304"/>
      <c r="F807" s="304"/>
      <c r="G807" s="10"/>
      <c r="H807" s="6"/>
      <c r="X807" s="10"/>
      <c r="Y807" s="10"/>
      <c r="Z807" s="10"/>
      <c r="AA807" s="10"/>
      <c r="AB807" s="10"/>
      <c r="AC807" s="10"/>
      <c r="AD807" s="10"/>
      <c r="AE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</row>
    <row r="808" spans="3:49" ht="12.75" hidden="1">
      <c r="C808" s="151" t="s">
        <v>126</v>
      </c>
      <c r="D808" s="10"/>
      <c r="E808" s="304"/>
      <c r="F808" s="304"/>
      <c r="G808" s="10"/>
      <c r="H808" s="6"/>
      <c r="X808" s="10"/>
      <c r="Y808" s="10"/>
      <c r="Z808" s="10"/>
      <c r="AA808" s="10"/>
      <c r="AB808" s="10"/>
      <c r="AC808" s="10"/>
      <c r="AD808" s="10"/>
      <c r="AE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</row>
    <row r="809" spans="3:49" ht="12.75" hidden="1">
      <c r="C809" s="142"/>
      <c r="D809" s="265"/>
      <c r="E809" s="305"/>
      <c r="F809" s="279"/>
      <c r="G809" s="115"/>
      <c r="H809" s="115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99"/>
      <c r="V809" s="116"/>
      <c r="W809" s="256"/>
      <c r="X809" s="121"/>
      <c r="Y809" s="116"/>
      <c r="Z809" s="116"/>
      <c r="AA809" s="116"/>
      <c r="AB809" s="116"/>
      <c r="AC809" s="34">
        <f aca="true" t="shared" si="133" ref="AC809:AC820">SUM(AG809:AV809)</f>
        <v>0</v>
      </c>
      <c r="AD809" s="116"/>
      <c r="AE809" s="127">
        <f>SUM(X809:AD809)</f>
        <v>0</v>
      </c>
      <c r="AG809" s="129"/>
      <c r="AH809" s="130"/>
      <c r="AI809" s="130"/>
      <c r="AJ809" s="130"/>
      <c r="AK809" s="130"/>
      <c r="AL809" s="130"/>
      <c r="AM809" s="130"/>
      <c r="AN809" s="130"/>
      <c r="AO809" s="130"/>
      <c r="AP809" s="130"/>
      <c r="AQ809" s="130"/>
      <c r="AR809" s="130"/>
      <c r="AS809" s="130"/>
      <c r="AT809" s="143"/>
      <c r="AU809" s="130"/>
      <c r="AV809" s="130"/>
      <c r="AW809" s="122">
        <f>SUM(AG809:AV809)</f>
        <v>0</v>
      </c>
    </row>
    <row r="810" spans="3:49" ht="12.75" hidden="1">
      <c r="C810" s="112"/>
      <c r="D810" s="38"/>
      <c r="E810" s="298"/>
      <c r="F810" s="306"/>
      <c r="G810" s="29"/>
      <c r="H810" s="29"/>
      <c r="U810" s="82"/>
      <c r="X810" s="48"/>
      <c r="Y810" s="10"/>
      <c r="Z810" s="10"/>
      <c r="AA810" s="10"/>
      <c r="AB810" s="10"/>
      <c r="AC810" s="32">
        <f t="shared" si="133"/>
        <v>0</v>
      </c>
      <c r="AD810" s="10"/>
      <c r="AE810" s="22">
        <f aca="true" t="shared" si="134" ref="AE810:AE820">SUM(X810:AD810)</f>
        <v>0</v>
      </c>
      <c r="AG810" s="131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33"/>
      <c r="AT810" s="18"/>
      <c r="AU810" s="18"/>
      <c r="AV810" s="18"/>
      <c r="AW810" s="123">
        <f aca="true" t="shared" si="135" ref="AW810:AW820">SUM(AG810:AV810)</f>
        <v>0</v>
      </c>
    </row>
    <row r="811" spans="3:49" ht="12.75" hidden="1">
      <c r="C811" s="112"/>
      <c r="D811" s="38"/>
      <c r="E811" s="298"/>
      <c r="F811" s="306"/>
      <c r="G811" s="29"/>
      <c r="H811" s="29"/>
      <c r="U811" s="82"/>
      <c r="X811" s="48"/>
      <c r="Y811" s="10"/>
      <c r="Z811" s="10"/>
      <c r="AA811" s="10"/>
      <c r="AB811" s="10"/>
      <c r="AC811" s="32">
        <f t="shared" si="133"/>
        <v>0</v>
      </c>
      <c r="AD811" s="10"/>
      <c r="AE811" s="22">
        <f t="shared" si="134"/>
        <v>0</v>
      </c>
      <c r="AG811" s="131"/>
      <c r="AH811" s="18"/>
      <c r="AI811" s="18"/>
      <c r="AJ811" s="33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23">
        <f t="shared" si="135"/>
        <v>0</v>
      </c>
    </row>
    <row r="812" spans="3:49" ht="12.75" hidden="1">
      <c r="C812" s="112"/>
      <c r="D812" s="38"/>
      <c r="E812" s="298"/>
      <c r="F812" s="306"/>
      <c r="G812" s="29"/>
      <c r="H812" s="29"/>
      <c r="U812" s="82"/>
      <c r="X812" s="48"/>
      <c r="Y812" s="10"/>
      <c r="Z812" s="10"/>
      <c r="AA812" s="10"/>
      <c r="AB812" s="10"/>
      <c r="AC812" s="32">
        <f t="shared" si="133"/>
        <v>0</v>
      </c>
      <c r="AD812" s="10"/>
      <c r="AE812" s="22">
        <f t="shared" si="134"/>
        <v>0</v>
      </c>
      <c r="AG812" s="131"/>
      <c r="AH812" s="18"/>
      <c r="AI812" s="18"/>
      <c r="AJ812" s="18"/>
      <c r="AK812" s="18"/>
      <c r="AL812" s="18"/>
      <c r="AM812" s="18"/>
      <c r="AN812" s="18"/>
      <c r="AO812" s="18"/>
      <c r="AP812" s="33"/>
      <c r="AQ812" s="18"/>
      <c r="AR812" s="18"/>
      <c r="AS812" s="18"/>
      <c r="AT812" s="18"/>
      <c r="AU812" s="18"/>
      <c r="AV812" s="18"/>
      <c r="AW812" s="123">
        <f t="shared" si="135"/>
        <v>0</v>
      </c>
    </row>
    <row r="813" spans="3:49" ht="12.75" hidden="1">
      <c r="C813" s="112"/>
      <c r="D813" s="38"/>
      <c r="E813" s="298"/>
      <c r="F813" s="306"/>
      <c r="G813" s="29"/>
      <c r="H813" s="29"/>
      <c r="U813" s="82"/>
      <c r="X813" s="48"/>
      <c r="Y813" s="10"/>
      <c r="Z813" s="10"/>
      <c r="AA813" s="10"/>
      <c r="AB813" s="10"/>
      <c r="AC813" s="32">
        <f t="shared" si="133"/>
        <v>0</v>
      </c>
      <c r="AE813" s="22">
        <f t="shared" si="134"/>
        <v>0</v>
      </c>
      <c r="AG813" s="131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23">
        <f t="shared" si="135"/>
        <v>0</v>
      </c>
    </row>
    <row r="814" spans="3:49" ht="12.75" hidden="1">
      <c r="C814" s="112"/>
      <c r="D814" s="38"/>
      <c r="E814" s="298"/>
      <c r="F814" s="306"/>
      <c r="G814" s="29"/>
      <c r="H814" s="29"/>
      <c r="U814" s="82"/>
      <c r="X814" s="48"/>
      <c r="Y814" s="10"/>
      <c r="Z814" s="10"/>
      <c r="AA814" s="10"/>
      <c r="AB814" s="10"/>
      <c r="AC814" s="32">
        <f t="shared" si="133"/>
        <v>0</v>
      </c>
      <c r="AE814" s="22">
        <f t="shared" si="134"/>
        <v>0</v>
      </c>
      <c r="AG814" s="131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23">
        <f t="shared" si="135"/>
        <v>0</v>
      </c>
    </row>
    <row r="815" spans="3:49" ht="12.75" hidden="1">
      <c r="C815" s="112"/>
      <c r="D815" s="38"/>
      <c r="E815" s="298"/>
      <c r="F815" s="306"/>
      <c r="G815" s="29"/>
      <c r="H815" s="29"/>
      <c r="U815" s="82"/>
      <c r="X815" s="48"/>
      <c r="Y815" s="10"/>
      <c r="Z815" s="10"/>
      <c r="AA815" s="10"/>
      <c r="AB815" s="10"/>
      <c r="AC815" s="32">
        <f t="shared" si="133"/>
        <v>0</v>
      </c>
      <c r="AD815" s="6"/>
      <c r="AE815" s="22">
        <f t="shared" si="134"/>
        <v>0</v>
      </c>
      <c r="AG815" s="131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33"/>
      <c r="AS815" s="18"/>
      <c r="AT815" s="18"/>
      <c r="AU815" s="18"/>
      <c r="AV815" s="18"/>
      <c r="AW815" s="123">
        <f t="shared" si="135"/>
        <v>0</v>
      </c>
    </row>
    <row r="816" spans="3:49" ht="12.75" hidden="1">
      <c r="C816" s="112"/>
      <c r="D816" s="38"/>
      <c r="E816" s="298"/>
      <c r="F816" s="306"/>
      <c r="G816" s="29"/>
      <c r="H816" s="29"/>
      <c r="U816" s="82"/>
      <c r="X816" s="48"/>
      <c r="Y816" s="10"/>
      <c r="Z816" s="10"/>
      <c r="AA816" s="10"/>
      <c r="AB816" s="10"/>
      <c r="AC816" s="32">
        <f t="shared" si="133"/>
        <v>0</v>
      </c>
      <c r="AD816" s="10"/>
      <c r="AE816" s="22">
        <f t="shared" si="134"/>
        <v>0</v>
      </c>
      <c r="AG816" s="131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33"/>
      <c r="AS816" s="18"/>
      <c r="AT816" s="18"/>
      <c r="AU816" s="18"/>
      <c r="AV816" s="18"/>
      <c r="AW816" s="123">
        <f t="shared" si="135"/>
        <v>0</v>
      </c>
    </row>
    <row r="817" spans="3:49" ht="12.75" hidden="1">
      <c r="C817" s="112"/>
      <c r="D817" s="38"/>
      <c r="E817" s="298"/>
      <c r="F817" s="306"/>
      <c r="G817" s="29"/>
      <c r="H817" s="29"/>
      <c r="U817" s="82"/>
      <c r="X817" s="48"/>
      <c r="Y817" s="10"/>
      <c r="Z817" s="10"/>
      <c r="AA817" s="10"/>
      <c r="AB817" s="10"/>
      <c r="AC817" s="32">
        <f t="shared" si="133"/>
        <v>0</v>
      </c>
      <c r="AD817" s="10"/>
      <c r="AE817" s="22">
        <f t="shared" si="134"/>
        <v>0</v>
      </c>
      <c r="AG817" s="131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33"/>
      <c r="AS817" s="18"/>
      <c r="AT817" s="18"/>
      <c r="AU817" s="18"/>
      <c r="AV817" s="18"/>
      <c r="AW817" s="123">
        <f t="shared" si="135"/>
        <v>0</v>
      </c>
    </row>
    <row r="818" spans="3:49" ht="12.75" hidden="1">
      <c r="C818" s="112"/>
      <c r="D818" s="38"/>
      <c r="E818" s="298"/>
      <c r="F818" s="306"/>
      <c r="G818" s="29"/>
      <c r="H818" s="29"/>
      <c r="U818" s="82"/>
      <c r="X818" s="48"/>
      <c r="Y818" s="10"/>
      <c r="Z818" s="10"/>
      <c r="AA818" s="10"/>
      <c r="AB818" s="10"/>
      <c r="AC818" s="32">
        <f t="shared" si="133"/>
        <v>0</v>
      </c>
      <c r="AD818" s="10"/>
      <c r="AE818" s="22">
        <f t="shared" si="134"/>
        <v>0</v>
      </c>
      <c r="AG818" s="131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33"/>
      <c r="AW818" s="123">
        <f t="shared" si="135"/>
        <v>0</v>
      </c>
    </row>
    <row r="819" spans="3:49" ht="12.75" hidden="1">
      <c r="C819" s="112"/>
      <c r="D819" s="38"/>
      <c r="E819" s="298"/>
      <c r="F819" s="306"/>
      <c r="G819" s="29"/>
      <c r="H819" s="29"/>
      <c r="U819" s="82"/>
      <c r="X819" s="48"/>
      <c r="Y819" s="10"/>
      <c r="Z819" s="10"/>
      <c r="AA819" s="10"/>
      <c r="AB819" s="10"/>
      <c r="AC819" s="32">
        <f t="shared" si="133"/>
        <v>0</v>
      </c>
      <c r="AE819" s="22">
        <f t="shared" si="134"/>
        <v>0</v>
      </c>
      <c r="AG819" s="131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23">
        <f t="shared" si="135"/>
        <v>0</v>
      </c>
    </row>
    <row r="820" spans="3:49" ht="13.5" hidden="1" thickBot="1">
      <c r="C820" s="144" t="s">
        <v>127</v>
      </c>
      <c r="D820" s="266"/>
      <c r="E820" s="307"/>
      <c r="F820" s="308"/>
      <c r="G820" s="117"/>
      <c r="H820" s="117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8"/>
      <c r="U820" s="120"/>
      <c r="V820" s="119"/>
      <c r="W820" s="257"/>
      <c r="X820" s="124"/>
      <c r="Y820" s="119"/>
      <c r="Z820" s="119"/>
      <c r="AA820" s="119"/>
      <c r="AB820" s="119"/>
      <c r="AC820" s="125">
        <f t="shared" si="133"/>
        <v>0</v>
      </c>
      <c r="AD820" s="117"/>
      <c r="AE820" s="128">
        <f t="shared" si="134"/>
        <v>0</v>
      </c>
      <c r="AG820" s="132"/>
      <c r="AH820" s="133"/>
      <c r="AI820" s="133"/>
      <c r="AJ820" s="133"/>
      <c r="AK820" s="133"/>
      <c r="AL820" s="133"/>
      <c r="AM820" s="133"/>
      <c r="AN820" s="133"/>
      <c r="AO820" s="133"/>
      <c r="AP820" s="133"/>
      <c r="AQ820" s="133"/>
      <c r="AR820" s="133"/>
      <c r="AS820" s="133"/>
      <c r="AT820" s="133"/>
      <c r="AU820" s="133"/>
      <c r="AV820" s="133"/>
      <c r="AW820" s="126">
        <f t="shared" si="135"/>
        <v>0</v>
      </c>
    </row>
    <row r="821" spans="3:49" ht="12.75" hidden="1">
      <c r="C821" s="114" t="s">
        <v>235</v>
      </c>
      <c r="D821" s="10"/>
      <c r="E821" s="304"/>
      <c r="F821" s="304"/>
      <c r="G821" s="10"/>
      <c r="H821" s="6"/>
      <c r="X821" s="10">
        <f aca="true" t="shared" si="136" ref="X821:AD821">SUM(X809:X820)</f>
        <v>0</v>
      </c>
      <c r="Y821" s="10">
        <f t="shared" si="136"/>
        <v>0</v>
      </c>
      <c r="Z821" s="10">
        <f t="shared" si="136"/>
        <v>0</v>
      </c>
      <c r="AA821" s="10">
        <f t="shared" si="136"/>
        <v>0</v>
      </c>
      <c r="AB821" s="10">
        <f t="shared" si="136"/>
        <v>0</v>
      </c>
      <c r="AC821" s="10">
        <f t="shared" si="136"/>
        <v>0</v>
      </c>
      <c r="AD821" s="10">
        <f t="shared" si="136"/>
        <v>0</v>
      </c>
      <c r="AE821" s="10">
        <f>ROUND(SUM(AE809:AE820),3)</f>
        <v>0</v>
      </c>
      <c r="AG821" s="10">
        <f>SUM(AG809:AG820)</f>
        <v>0</v>
      </c>
      <c r="AH821" s="10">
        <f aca="true" t="shared" si="137" ref="AH821:AW821">SUM(AH809:AH820)</f>
        <v>0</v>
      </c>
      <c r="AI821" s="10">
        <f t="shared" si="137"/>
        <v>0</v>
      </c>
      <c r="AJ821" s="10">
        <f t="shared" si="137"/>
        <v>0</v>
      </c>
      <c r="AK821" s="10">
        <f t="shared" si="137"/>
        <v>0</v>
      </c>
      <c r="AL821" s="10">
        <f t="shared" si="137"/>
        <v>0</v>
      </c>
      <c r="AM821" s="10">
        <f t="shared" si="137"/>
        <v>0</v>
      </c>
      <c r="AN821" s="10">
        <f t="shared" si="137"/>
        <v>0</v>
      </c>
      <c r="AO821" s="10">
        <f t="shared" si="137"/>
        <v>0</v>
      </c>
      <c r="AP821" s="10">
        <f t="shared" si="137"/>
        <v>0</v>
      </c>
      <c r="AQ821" s="10">
        <f t="shared" si="137"/>
        <v>0</v>
      </c>
      <c r="AR821" s="10">
        <f t="shared" si="137"/>
        <v>0</v>
      </c>
      <c r="AS821" s="10">
        <f t="shared" si="137"/>
        <v>0</v>
      </c>
      <c r="AT821" s="10">
        <f t="shared" si="137"/>
        <v>0</v>
      </c>
      <c r="AU821" s="10">
        <f t="shared" si="137"/>
        <v>0</v>
      </c>
      <c r="AV821" s="10">
        <f t="shared" si="137"/>
        <v>0</v>
      </c>
      <c r="AW821" s="10">
        <f t="shared" si="137"/>
        <v>0</v>
      </c>
    </row>
    <row r="822" spans="3:49" ht="12.75" hidden="1">
      <c r="C822" s="114"/>
      <c r="D822" s="10"/>
      <c r="E822" s="304"/>
      <c r="F822" s="304"/>
      <c r="G822" s="10"/>
      <c r="H822" s="6"/>
      <c r="X822" s="10"/>
      <c r="Y822" s="10"/>
      <c r="Z822" s="10"/>
      <c r="AA822" s="10"/>
      <c r="AB822" s="10"/>
      <c r="AC822" s="10"/>
      <c r="AD822" s="10"/>
      <c r="AE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</row>
    <row r="823" spans="3:49" ht="12.75" hidden="1">
      <c r="C823" s="114"/>
      <c r="D823" s="10"/>
      <c r="E823" s="304"/>
      <c r="F823" s="304"/>
      <c r="G823" s="10"/>
      <c r="H823" s="6"/>
      <c r="X823" s="10"/>
      <c r="Y823" s="10"/>
      <c r="Z823" s="10"/>
      <c r="AA823" s="10"/>
      <c r="AB823" s="10"/>
      <c r="AC823" s="10"/>
      <c r="AD823" s="10"/>
      <c r="AE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</row>
    <row r="824" spans="3:49" ht="18" customHeight="1" hidden="1">
      <c r="C824" s="114" t="s">
        <v>128</v>
      </c>
      <c r="D824" s="10">
        <f>AE824</f>
        <v>125.27700000000002</v>
      </c>
      <c r="E824" s="304"/>
      <c r="F824" s="304"/>
      <c r="G824" s="10"/>
      <c r="H824" s="6"/>
      <c r="X824" s="10">
        <f aca="true" t="shared" si="138" ref="X824:AE824">X821+X799</f>
        <v>10.265000000000002</v>
      </c>
      <c r="Y824" s="10">
        <f t="shared" si="138"/>
        <v>1.827</v>
      </c>
      <c r="Z824" s="10">
        <f t="shared" si="138"/>
        <v>14.334999999999999</v>
      </c>
      <c r="AA824" s="10">
        <f t="shared" si="138"/>
        <v>1.288</v>
      </c>
      <c r="AB824" s="10">
        <f t="shared" si="138"/>
        <v>19.316000000000003</v>
      </c>
      <c r="AC824" s="10">
        <f t="shared" si="138"/>
        <v>75.11800000000001</v>
      </c>
      <c r="AD824" s="10">
        <f t="shared" si="138"/>
        <v>3.128</v>
      </c>
      <c r="AE824" s="10">
        <f t="shared" si="138"/>
        <v>125.27700000000002</v>
      </c>
      <c r="AG824" s="10">
        <f aca="true" t="shared" si="139" ref="AG824:AW824">AG821+AG799</f>
        <v>9.009</v>
      </c>
      <c r="AH824" s="10">
        <f t="shared" si="139"/>
        <v>1</v>
      </c>
      <c r="AI824" s="10">
        <f t="shared" si="139"/>
        <v>3.562</v>
      </c>
      <c r="AJ824" s="10">
        <f t="shared" si="139"/>
        <v>3.915</v>
      </c>
      <c r="AK824" s="10">
        <f t="shared" si="139"/>
        <v>0</v>
      </c>
      <c r="AL824" s="10">
        <f t="shared" si="139"/>
        <v>2.606</v>
      </c>
      <c r="AM824" s="10">
        <f t="shared" si="139"/>
        <v>0.103</v>
      </c>
      <c r="AN824" s="10">
        <f t="shared" si="139"/>
        <v>0.73</v>
      </c>
      <c r="AO824" s="10">
        <f t="shared" si="139"/>
        <v>1.362</v>
      </c>
      <c r="AP824" s="10">
        <f t="shared" si="139"/>
        <v>4.094</v>
      </c>
      <c r="AQ824" s="10">
        <f t="shared" si="139"/>
        <v>5.079000000000001</v>
      </c>
      <c r="AR824" s="10">
        <f t="shared" si="139"/>
        <v>2.95</v>
      </c>
      <c r="AS824" s="10">
        <f t="shared" si="139"/>
        <v>0.85</v>
      </c>
      <c r="AT824" s="10">
        <f t="shared" si="139"/>
        <v>21</v>
      </c>
      <c r="AU824" s="10">
        <f t="shared" si="139"/>
        <v>0</v>
      </c>
      <c r="AV824" s="10">
        <f t="shared" si="139"/>
        <v>18.857999999999997</v>
      </c>
      <c r="AW824" s="10">
        <f t="shared" si="139"/>
        <v>75.11800000000001</v>
      </c>
    </row>
    <row r="825" spans="3:49" ht="12.75" hidden="1">
      <c r="C825" s="114" t="s">
        <v>129</v>
      </c>
      <c r="D825" s="10" t="e">
        <f>#REF!</f>
        <v>#REF!</v>
      </c>
      <c r="E825" s="304"/>
      <c r="F825" s="304"/>
      <c r="G825" s="10"/>
      <c r="H825" s="6"/>
      <c r="X825" s="10"/>
      <c r="Y825" s="10"/>
      <c r="Z825" s="10"/>
      <c r="AA825" s="10"/>
      <c r="AB825" s="10" t="e">
        <f>D825</f>
        <v>#REF!</v>
      </c>
      <c r="AC825" s="10"/>
      <c r="AD825" s="10"/>
      <c r="AE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</row>
    <row r="826" spans="3:49" ht="12.75" hidden="1">
      <c r="C826" s="114" t="s">
        <v>130</v>
      </c>
      <c r="D826" s="10" t="e">
        <f>SUM(D824:D825)</f>
        <v>#REF!</v>
      </c>
      <c r="E826" s="304"/>
      <c r="F826" s="304"/>
      <c r="G826" s="10"/>
      <c r="H826" s="6"/>
      <c r="X826" s="10">
        <f>SUM(X824:X825)</f>
        <v>10.265000000000002</v>
      </c>
      <c r="Y826" s="10">
        <f aca="true" t="shared" si="140" ref="Y826:AD826">SUM(Y824:Y825)</f>
        <v>1.827</v>
      </c>
      <c r="Z826" s="10">
        <f t="shared" si="140"/>
        <v>14.334999999999999</v>
      </c>
      <c r="AA826" s="10">
        <f t="shared" si="140"/>
        <v>1.288</v>
      </c>
      <c r="AB826" s="10" t="e">
        <f t="shared" si="140"/>
        <v>#REF!</v>
      </c>
      <c r="AC826" s="10">
        <f t="shared" si="140"/>
        <v>75.11800000000001</v>
      </c>
      <c r="AD826" s="10">
        <f t="shared" si="140"/>
        <v>3.128</v>
      </c>
      <c r="AE826" s="10" t="e">
        <f>SUM(X826:AD826)</f>
        <v>#REF!</v>
      </c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</row>
    <row r="827" spans="3:49" ht="12.75" hidden="1">
      <c r="C827" s="114" t="s">
        <v>298</v>
      </c>
      <c r="D827" s="10">
        <f>D804</f>
        <v>125.27700000000002</v>
      </c>
      <c r="E827" s="304"/>
      <c r="F827" s="304"/>
      <c r="G827" s="10"/>
      <c r="H827" s="6"/>
      <c r="X827" s="10"/>
      <c r="Y827" s="10"/>
      <c r="Z827" s="10"/>
      <c r="AA827" s="10"/>
      <c r="AB827" s="10"/>
      <c r="AC827" s="10"/>
      <c r="AD827" s="10"/>
      <c r="AE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</row>
    <row r="828" spans="3:49" ht="12.75" hidden="1">
      <c r="C828" s="114" t="s">
        <v>131</v>
      </c>
      <c r="D828" s="10" t="e">
        <f>D826-D827</f>
        <v>#REF!</v>
      </c>
      <c r="F828" s="304"/>
      <c r="G828" s="10"/>
      <c r="H828" s="6"/>
      <c r="X828" s="10"/>
      <c r="Y828" s="10"/>
      <c r="Z828" s="10"/>
      <c r="AA828" s="10"/>
      <c r="AB828" s="10"/>
      <c r="AC828" s="10"/>
      <c r="AD828" s="10"/>
      <c r="AE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</row>
    <row r="829" spans="3:49" ht="12.75" hidden="1">
      <c r="C829" s="114"/>
      <c r="D829" s="10"/>
      <c r="E829" s="304"/>
      <c r="F829" s="304"/>
      <c r="G829" s="10"/>
      <c r="H829" s="6"/>
      <c r="X829" s="10"/>
      <c r="Y829" s="10"/>
      <c r="Z829" s="10"/>
      <c r="AA829" s="10"/>
      <c r="AB829" s="10"/>
      <c r="AC829" s="10"/>
      <c r="AD829" s="10"/>
      <c r="AE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</row>
    <row r="830" spans="4:20" ht="12.75" hidden="1">
      <c r="D830" s="12"/>
      <c r="E830" s="148"/>
      <c r="F830" s="148"/>
      <c r="G830" s="15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</row>
    <row r="831" ht="12.75" hidden="1"/>
    <row r="832" ht="12.75" hidden="1"/>
    <row r="833" ht="12.75" hidden="1">
      <c r="C833" s="6" t="s">
        <v>419</v>
      </c>
    </row>
    <row r="834" spans="3:14" ht="12.75" hidden="1">
      <c r="C834" s="230"/>
      <c r="D834" s="20"/>
      <c r="E834" s="309"/>
      <c r="F834" s="309"/>
      <c r="G834" s="20"/>
      <c r="H834" s="231"/>
      <c r="I834" s="20"/>
      <c r="J834" s="20"/>
      <c r="K834" s="20"/>
      <c r="L834" s="20"/>
      <c r="M834" s="20"/>
      <c r="N834" s="232"/>
    </row>
    <row r="835" spans="3:14" ht="12.75" hidden="1">
      <c r="C835" s="233"/>
      <c r="D835" s="267"/>
      <c r="E835" s="310"/>
      <c r="F835" s="310"/>
      <c r="G835" s="267"/>
      <c r="H835" s="234"/>
      <c r="I835" s="214"/>
      <c r="J835" s="235" t="s">
        <v>401</v>
      </c>
      <c r="K835" s="235" t="s">
        <v>402</v>
      </c>
      <c r="L835" s="236" t="s">
        <v>403</v>
      </c>
      <c r="M835" s="235" t="s">
        <v>404</v>
      </c>
      <c r="N835" s="89"/>
    </row>
    <row r="836" spans="3:14" ht="12.75" hidden="1">
      <c r="C836" s="237" t="s">
        <v>277</v>
      </c>
      <c r="D836" s="267"/>
      <c r="E836" s="310"/>
      <c r="F836" s="310"/>
      <c r="G836" s="268"/>
      <c r="H836" s="238"/>
      <c r="I836" s="214"/>
      <c r="J836" s="226"/>
      <c r="K836" s="226"/>
      <c r="L836" s="226"/>
      <c r="M836" s="226"/>
      <c r="N836" s="89"/>
    </row>
    <row r="837" spans="3:14" ht="12.75" hidden="1">
      <c r="C837" s="237" t="s">
        <v>267</v>
      </c>
      <c r="D837" s="269"/>
      <c r="E837" s="311"/>
      <c r="F837" s="312"/>
      <c r="G837" s="268"/>
      <c r="H837" s="226"/>
      <c r="I837" s="215"/>
      <c r="J837" s="239"/>
      <c r="K837" s="239"/>
      <c r="L837" s="226"/>
      <c r="M837" s="226"/>
      <c r="N837" s="89"/>
    </row>
    <row r="838" spans="3:14" ht="12.75" hidden="1">
      <c r="C838" s="237" t="s">
        <v>364</v>
      </c>
      <c r="D838" s="269"/>
      <c r="E838" s="312"/>
      <c r="F838" s="312"/>
      <c r="G838" s="268"/>
      <c r="H838" s="226"/>
      <c r="I838" s="215"/>
      <c r="J838" s="239"/>
      <c r="K838" s="239"/>
      <c r="L838" s="226">
        <v>19785</v>
      </c>
      <c r="M838" s="239"/>
      <c r="N838" s="89"/>
    </row>
    <row r="839" spans="3:14" ht="12.75" hidden="1">
      <c r="C839" s="233" t="s">
        <v>231</v>
      </c>
      <c r="D839" s="267"/>
      <c r="E839" s="310"/>
      <c r="F839" s="310"/>
      <c r="G839" s="268"/>
      <c r="H839" s="234"/>
      <c r="I839" s="214"/>
      <c r="J839" s="226"/>
      <c r="K839" s="226"/>
      <c r="L839" s="226"/>
      <c r="M839" s="226"/>
      <c r="N839" s="89"/>
    </row>
    <row r="840" spans="3:14" ht="12.75" hidden="1">
      <c r="C840" s="233" t="s">
        <v>405</v>
      </c>
      <c r="D840" s="267"/>
      <c r="E840" s="311"/>
      <c r="F840" s="310"/>
      <c r="G840" s="268"/>
      <c r="H840" s="234"/>
      <c r="I840" s="214"/>
      <c r="J840" s="226"/>
      <c r="K840" s="216"/>
      <c r="L840" s="217"/>
      <c r="M840" s="218">
        <v>175989</v>
      </c>
      <c r="N840" s="89"/>
    </row>
    <row r="841" spans="3:14" ht="12.75" hidden="1">
      <c r="C841" s="233" t="s">
        <v>406</v>
      </c>
      <c r="D841" s="267"/>
      <c r="E841" s="311"/>
      <c r="F841" s="310"/>
      <c r="G841" s="268"/>
      <c r="H841" s="234"/>
      <c r="I841" s="214"/>
      <c r="J841" s="226"/>
      <c r="K841" s="219"/>
      <c r="L841" s="220"/>
      <c r="M841" s="221">
        <v>261581</v>
      </c>
      <c r="N841" s="89"/>
    </row>
    <row r="842" spans="3:14" ht="12.75" hidden="1">
      <c r="C842" s="233" t="s">
        <v>407</v>
      </c>
      <c r="D842" s="267"/>
      <c r="E842" s="311"/>
      <c r="F842" s="310"/>
      <c r="G842" s="268"/>
      <c r="H842" s="234"/>
      <c r="I842" s="214"/>
      <c r="J842" s="226"/>
      <c r="K842" s="222"/>
      <c r="L842" s="220"/>
      <c r="M842" s="223"/>
      <c r="N842" s="89"/>
    </row>
    <row r="843" spans="3:14" ht="12.75" hidden="1">
      <c r="C843" s="233" t="s">
        <v>408</v>
      </c>
      <c r="D843" s="267"/>
      <c r="E843" s="311"/>
      <c r="F843" s="310"/>
      <c r="G843" s="268"/>
      <c r="H843" s="234"/>
      <c r="I843" s="214"/>
      <c r="J843" s="226"/>
      <c r="K843" s="224"/>
      <c r="L843" s="220"/>
      <c r="M843" s="223"/>
      <c r="N843" s="89"/>
    </row>
    <row r="844" spans="3:14" ht="12.75" hidden="1">
      <c r="C844" s="233" t="s">
        <v>409</v>
      </c>
      <c r="D844" s="267"/>
      <c r="E844" s="310"/>
      <c r="F844" s="310"/>
      <c r="G844" s="268" t="s">
        <v>410</v>
      </c>
      <c r="H844" s="234"/>
      <c r="I844" s="214"/>
      <c r="J844" s="226"/>
      <c r="K844" s="222"/>
      <c r="L844" s="220"/>
      <c r="M844" s="223"/>
      <c r="N844" s="89"/>
    </row>
    <row r="845" spans="3:14" ht="12.75" hidden="1">
      <c r="C845" s="233" t="s">
        <v>411</v>
      </c>
      <c r="D845" s="267"/>
      <c r="E845" s="310"/>
      <c r="F845" s="310"/>
      <c r="G845" s="268" t="s">
        <v>412</v>
      </c>
      <c r="H845" s="234"/>
      <c r="I845" s="214"/>
      <c r="J845" s="226"/>
      <c r="K845" s="222"/>
      <c r="L845" s="220"/>
      <c r="M845" s="223"/>
      <c r="N845" s="89"/>
    </row>
    <row r="846" spans="3:14" ht="12.75" hidden="1">
      <c r="C846" s="233" t="s">
        <v>413</v>
      </c>
      <c r="D846" s="267"/>
      <c r="E846" s="310"/>
      <c r="F846" s="310"/>
      <c r="G846" s="268"/>
      <c r="H846" s="234"/>
      <c r="I846" s="214"/>
      <c r="J846" s="226"/>
      <c r="K846" s="222"/>
      <c r="L846" s="220"/>
      <c r="M846" s="223"/>
      <c r="N846" s="89"/>
    </row>
    <row r="847" spans="3:14" ht="12.75" hidden="1">
      <c r="C847" s="233" t="s">
        <v>414</v>
      </c>
      <c r="D847" s="267"/>
      <c r="E847" s="310"/>
      <c r="F847" s="310"/>
      <c r="G847" s="268"/>
      <c r="H847" s="234"/>
      <c r="I847" s="214"/>
      <c r="J847" s="226"/>
      <c r="K847" s="222"/>
      <c r="L847" s="220"/>
      <c r="M847" s="223"/>
      <c r="N847" s="89"/>
    </row>
    <row r="848" spans="3:14" ht="12.75" hidden="1">
      <c r="C848" s="233" t="s">
        <v>415</v>
      </c>
      <c r="D848" s="267"/>
      <c r="E848" s="310"/>
      <c r="F848" s="310"/>
      <c r="G848" s="268"/>
      <c r="H848" s="234"/>
      <c r="I848" s="214"/>
      <c r="J848" s="226"/>
      <c r="K848" s="222"/>
      <c r="L848" s="220"/>
      <c r="M848" s="223">
        <v>146000</v>
      </c>
      <c r="N848" s="89"/>
    </row>
    <row r="849" spans="3:14" ht="12.75" hidden="1">
      <c r="C849" s="233" t="s">
        <v>416</v>
      </c>
      <c r="D849" s="267"/>
      <c r="E849" s="310"/>
      <c r="F849" s="310"/>
      <c r="G849" s="268"/>
      <c r="H849" s="234"/>
      <c r="I849" s="214"/>
      <c r="J849" s="222">
        <v>126071.52</v>
      </c>
      <c r="K849" s="226"/>
      <c r="L849" s="220"/>
      <c r="M849" s="223"/>
      <c r="N849" s="89"/>
    </row>
    <row r="850" spans="3:14" ht="12.75" hidden="1">
      <c r="C850" s="233" t="s">
        <v>417</v>
      </c>
      <c r="D850" s="267"/>
      <c r="E850" s="310"/>
      <c r="F850" s="310"/>
      <c r="G850" s="268"/>
      <c r="H850" s="234"/>
      <c r="I850" s="214"/>
      <c r="J850" s="225">
        <v>1500</v>
      </c>
      <c r="K850" s="226"/>
      <c r="L850" s="226"/>
      <c r="M850" s="214"/>
      <c r="N850" s="89"/>
    </row>
    <row r="851" spans="3:14" ht="12.75" hidden="1">
      <c r="C851" s="233" t="s">
        <v>418</v>
      </c>
      <c r="D851" s="267"/>
      <c r="E851" s="310"/>
      <c r="F851" s="310"/>
      <c r="G851" s="268"/>
      <c r="H851" s="234"/>
      <c r="I851" s="214"/>
      <c r="J851" s="227">
        <v>8000</v>
      </c>
      <c r="K851" s="226"/>
      <c r="L851" s="228"/>
      <c r="M851" s="229"/>
      <c r="N851" s="89"/>
    </row>
    <row r="852" spans="3:14" ht="12.75" hidden="1">
      <c r="C852" s="47"/>
      <c r="N852" s="89"/>
    </row>
    <row r="853" spans="3:14" ht="12.75" hidden="1">
      <c r="C853" s="47"/>
      <c r="N853" s="89"/>
    </row>
    <row r="854" spans="3:14" ht="13.5" hidden="1" thickBot="1">
      <c r="C854" s="240"/>
      <c r="D854" s="118"/>
      <c r="E854" s="313"/>
      <c r="F854" s="313"/>
      <c r="G854" s="118"/>
      <c r="H854" s="241"/>
      <c r="I854" s="118"/>
      <c r="J854" s="118"/>
      <c r="K854" s="118"/>
      <c r="L854" s="118"/>
      <c r="M854" s="118"/>
      <c r="N854" s="242"/>
    </row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>
      <c r="AE861" s="29">
        <v>-5.934</v>
      </c>
    </row>
    <row r="862" ht="12.75" hidden="1">
      <c r="AE862" s="29">
        <f>SUM(AE861:AE861)</f>
        <v>-5.934</v>
      </c>
    </row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>
      <c r="H874" s="6"/>
    </row>
    <row r="875" ht="12.75" hidden="1">
      <c r="H875" s="6"/>
    </row>
    <row r="876" ht="12.75" hidden="1">
      <c r="H876" s="6"/>
    </row>
    <row r="877" ht="12.75" hidden="1">
      <c r="H877" s="6"/>
    </row>
    <row r="878" ht="12.75" hidden="1">
      <c r="H878" s="6"/>
    </row>
    <row r="879" ht="12.75" hidden="1">
      <c r="H879" s="6"/>
    </row>
    <row r="880" ht="12.75" hidden="1">
      <c r="H880" s="6"/>
    </row>
    <row r="881" ht="12.75" hidden="1">
      <c r="H881" s="6"/>
    </row>
    <row r="882" ht="12.75" hidden="1">
      <c r="H882" s="6"/>
    </row>
    <row r="883" spans="7:23" ht="12.75" hidden="1"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58"/>
    </row>
    <row r="884" spans="7:23" ht="12.75" hidden="1"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58"/>
    </row>
    <row r="885" spans="7:23" ht="12.75" hidden="1"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58"/>
    </row>
    <row r="886" spans="7:23" ht="12.75" hidden="1"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58"/>
    </row>
    <row r="887" spans="7:23" ht="12.75" hidden="1"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58"/>
    </row>
    <row r="888" ht="12.75" hidden="1">
      <c r="H888" s="6"/>
    </row>
    <row r="889" ht="12.75" hidden="1">
      <c r="H889" s="6"/>
    </row>
    <row r="890" ht="12.75" hidden="1">
      <c r="H890" s="6"/>
    </row>
    <row r="891" ht="12.75" hidden="1">
      <c r="H891" s="6"/>
    </row>
    <row r="892" ht="12.75" hidden="1">
      <c r="H892" s="6"/>
    </row>
    <row r="893" ht="12.75" hidden="1">
      <c r="H893" s="6"/>
    </row>
    <row r="894" ht="12.75" hidden="1">
      <c r="H894" s="6"/>
    </row>
    <row r="895" ht="12.75" hidden="1">
      <c r="H895" s="6"/>
    </row>
    <row r="896" ht="12.75" hidden="1">
      <c r="H896" s="6"/>
    </row>
    <row r="897" ht="12.75" hidden="1">
      <c r="H897" s="6"/>
    </row>
    <row r="898" ht="12.75" hidden="1">
      <c r="H898" s="6"/>
    </row>
    <row r="899" ht="12.75" hidden="1">
      <c r="H899" s="6"/>
    </row>
    <row r="900" ht="12.75" hidden="1">
      <c r="H900" s="6"/>
    </row>
    <row r="901" ht="12.75" hidden="1">
      <c r="H901" s="6"/>
    </row>
    <row r="902" ht="12.75" hidden="1">
      <c r="H902" s="6"/>
    </row>
    <row r="903" ht="12.75" hidden="1">
      <c r="H903" s="6"/>
    </row>
    <row r="904" ht="12.75" hidden="1">
      <c r="H904" s="6"/>
    </row>
    <row r="905" ht="12.75" hidden="1">
      <c r="H905" s="6"/>
    </row>
    <row r="906" ht="12.75" hidden="1">
      <c r="H906" s="6"/>
    </row>
    <row r="907" ht="12.75" hidden="1">
      <c r="H907" s="6"/>
    </row>
    <row r="908" ht="12.75" hidden="1">
      <c r="H908" s="6"/>
    </row>
    <row r="909" ht="12.75" hidden="1">
      <c r="H909" s="6"/>
    </row>
    <row r="910" ht="12.75" hidden="1">
      <c r="H910" s="6"/>
    </row>
    <row r="911" ht="12.75" hidden="1">
      <c r="H911" s="6"/>
    </row>
    <row r="912" ht="12.75" hidden="1">
      <c r="H912" s="6"/>
    </row>
    <row r="913" ht="12.75" hidden="1">
      <c r="H913" s="6"/>
    </row>
    <row r="914" ht="12.75" hidden="1">
      <c r="H914" s="6"/>
    </row>
    <row r="915" ht="12.75" hidden="1">
      <c r="H915" s="6"/>
    </row>
    <row r="916" ht="12.75" hidden="1">
      <c r="H916" s="6"/>
    </row>
    <row r="917" ht="12.75" hidden="1">
      <c r="H917" s="6"/>
    </row>
    <row r="918" ht="12.75" hidden="1">
      <c r="H918" s="6"/>
    </row>
    <row r="919" ht="12.75" hidden="1">
      <c r="H919" s="6"/>
    </row>
    <row r="920" ht="12.75" hidden="1">
      <c r="H920" s="6"/>
    </row>
    <row r="921" ht="12.75" hidden="1">
      <c r="H921" s="6"/>
    </row>
    <row r="922" ht="12.75" hidden="1">
      <c r="H922" s="6"/>
    </row>
    <row r="923" ht="12.75" hidden="1">
      <c r="H923" s="6"/>
    </row>
    <row r="924" ht="12.75" hidden="1">
      <c r="H924" s="6"/>
    </row>
    <row r="925" ht="12.75" hidden="1">
      <c r="H925" s="6"/>
    </row>
    <row r="926" ht="12.75" hidden="1">
      <c r="H926" s="6"/>
    </row>
    <row r="927" ht="12.75" hidden="1">
      <c r="H927" s="6"/>
    </row>
    <row r="928" ht="12.75" hidden="1">
      <c r="H928" s="6"/>
    </row>
    <row r="929" ht="12.75" hidden="1">
      <c r="H929" s="6"/>
    </row>
    <row r="930" ht="12.75" hidden="1">
      <c r="H930" s="6"/>
    </row>
    <row r="931" ht="12.75" hidden="1">
      <c r="H931" s="6"/>
    </row>
    <row r="932" ht="12.75" hidden="1">
      <c r="H932" s="6"/>
    </row>
    <row r="933" ht="12.75" hidden="1">
      <c r="H933" s="6"/>
    </row>
    <row r="934" ht="12.75" hidden="1">
      <c r="H934" s="6"/>
    </row>
    <row r="935" ht="12.75" hidden="1">
      <c r="H935" s="6"/>
    </row>
    <row r="936" ht="12.75" hidden="1">
      <c r="H936" s="6"/>
    </row>
    <row r="937" ht="12.75" hidden="1">
      <c r="H937" s="6"/>
    </row>
    <row r="938" ht="12.75" hidden="1">
      <c r="H938" s="6"/>
    </row>
    <row r="939" ht="12.75" hidden="1">
      <c r="H939" s="6"/>
    </row>
    <row r="940" ht="12.75" hidden="1">
      <c r="H940" s="6"/>
    </row>
    <row r="941" ht="12.75" hidden="1">
      <c r="H941" s="6"/>
    </row>
    <row r="942" ht="12.75" hidden="1">
      <c r="H942" s="6"/>
    </row>
    <row r="943" ht="12.75" hidden="1">
      <c r="H943" s="6"/>
    </row>
    <row r="944" ht="12.75" hidden="1">
      <c r="H944" s="6"/>
    </row>
    <row r="945" ht="12.75" hidden="1">
      <c r="H945" s="6"/>
    </row>
    <row r="946" ht="12.75" hidden="1">
      <c r="H946" s="6"/>
    </row>
    <row r="947" ht="12.75" hidden="1">
      <c r="H947" s="6"/>
    </row>
    <row r="948" ht="12.75" hidden="1">
      <c r="H948" s="6"/>
    </row>
    <row r="949" ht="12.75" hidden="1">
      <c r="H949" s="6"/>
    </row>
    <row r="950" ht="12.75" hidden="1">
      <c r="H950" s="6"/>
    </row>
    <row r="951" ht="12.75" hidden="1">
      <c r="H951" s="6"/>
    </row>
    <row r="952" ht="12.75" hidden="1">
      <c r="H952" s="6"/>
    </row>
    <row r="953" ht="12.75" hidden="1">
      <c r="H953" s="6"/>
    </row>
    <row r="954" ht="12.75" hidden="1">
      <c r="H954" s="6"/>
    </row>
    <row r="955" ht="12.75" hidden="1">
      <c r="H955" s="6"/>
    </row>
    <row r="956" ht="12.75" hidden="1">
      <c r="H956" s="6"/>
    </row>
    <row r="957" ht="12.75" hidden="1">
      <c r="H957" s="6"/>
    </row>
    <row r="958" ht="12.75" hidden="1">
      <c r="H958" s="6"/>
    </row>
    <row r="959" ht="12.75" hidden="1">
      <c r="H959" s="6"/>
    </row>
    <row r="960" ht="12.75" hidden="1">
      <c r="H960" s="6"/>
    </row>
    <row r="961" ht="12.75" hidden="1">
      <c r="H961" s="6"/>
    </row>
    <row r="962" ht="12.75" hidden="1">
      <c r="H962" s="6"/>
    </row>
    <row r="963" ht="12.75" hidden="1">
      <c r="H963" s="6"/>
    </row>
    <row r="964" ht="12.75" hidden="1">
      <c r="H964" s="6"/>
    </row>
    <row r="965" ht="12.75" hidden="1">
      <c r="H965" s="6"/>
    </row>
    <row r="966" ht="12.75" hidden="1">
      <c r="H966" s="6"/>
    </row>
    <row r="967" ht="12.75" hidden="1">
      <c r="H967" s="6"/>
    </row>
    <row r="968" ht="12.75" hidden="1">
      <c r="H968" s="6"/>
    </row>
    <row r="969" ht="12.75" hidden="1">
      <c r="H969" s="6"/>
    </row>
    <row r="970" ht="12.75" hidden="1">
      <c r="H970" s="6"/>
    </row>
    <row r="971" ht="12.75" hidden="1">
      <c r="H971" s="6"/>
    </row>
    <row r="972" ht="12.75" hidden="1">
      <c r="H972" s="6"/>
    </row>
    <row r="973" ht="12.75" hidden="1">
      <c r="H973" s="6"/>
    </row>
    <row r="974" ht="12.75" hidden="1">
      <c r="H974" s="6"/>
    </row>
    <row r="975" ht="12.75" hidden="1">
      <c r="H975" s="6"/>
    </row>
    <row r="976" ht="12.75" hidden="1">
      <c r="H976" s="6"/>
    </row>
    <row r="977" ht="12.75" hidden="1">
      <c r="H977" s="6"/>
    </row>
    <row r="978" ht="12.75" hidden="1">
      <c r="H978" s="6"/>
    </row>
    <row r="979" ht="12.75" hidden="1">
      <c r="H979" s="6"/>
    </row>
    <row r="980" ht="12.75" hidden="1">
      <c r="H980" s="6"/>
    </row>
    <row r="981" ht="12.75" hidden="1">
      <c r="H981" s="6"/>
    </row>
    <row r="982" ht="12.75" hidden="1">
      <c r="H982" s="6"/>
    </row>
    <row r="983" ht="12.75" hidden="1">
      <c r="H983" s="6"/>
    </row>
    <row r="984" ht="12.75" hidden="1">
      <c r="H984" s="6"/>
    </row>
    <row r="985" ht="12.75" hidden="1">
      <c r="H985" s="6"/>
    </row>
    <row r="986" ht="12.75" hidden="1">
      <c r="H986" s="6"/>
    </row>
    <row r="987" ht="12.75" hidden="1">
      <c r="H987" s="6"/>
    </row>
    <row r="988" ht="12.75" hidden="1">
      <c r="H988" s="6"/>
    </row>
    <row r="989" ht="12.75" hidden="1">
      <c r="H989" s="6"/>
    </row>
    <row r="990" ht="12.75" hidden="1">
      <c r="H990" s="6"/>
    </row>
    <row r="991" ht="12.75" hidden="1">
      <c r="H991" s="6"/>
    </row>
    <row r="992" ht="12.75" hidden="1">
      <c r="H992" s="6"/>
    </row>
    <row r="993" ht="12.75" hidden="1">
      <c r="H993" s="6"/>
    </row>
    <row r="994" ht="12.75" hidden="1">
      <c r="H994" s="6"/>
    </row>
    <row r="995" ht="12.75" hidden="1">
      <c r="H995" s="6"/>
    </row>
    <row r="996" ht="12.75" hidden="1">
      <c r="H996" s="6"/>
    </row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670" ht="12.75"/>
    <row r="1671" ht="12.75"/>
    <row r="1672" ht="12.75"/>
    <row r="1673" ht="12.75"/>
  </sheetData>
  <mergeCells count="2">
    <mergeCell ref="E2:F2"/>
    <mergeCell ref="H2:S2"/>
  </mergeCells>
  <printOptions/>
  <pageMargins left="0.4330708661417323" right="0" top="0.5905511811023623" bottom="0" header="0.11811023622047245" footer="0"/>
  <pageSetup fitToHeight="5" horizontalDpi="300" verticalDpi="300" orientation="landscape" paperSize="9" scale="80" r:id="rId3"/>
  <headerFooter alignWithMargins="0">
    <oddHeader>&amp;C&amp;"Arial,Bold"&amp;U2005/06 CAPITAL PROGRAMME&amp;R&amp;"Arial,Bold"&amp;UAppendix 1</oddHeader>
  </headerFooter>
  <rowBreaks count="5" manualBreakCount="5">
    <brk id="372" max="255" man="1"/>
    <brk id="515" min="2" max="30" man="1"/>
    <brk id="545" min="2" max="30" man="1"/>
    <brk id="606" min="2" max="30" man="1"/>
    <brk id="671" min="2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H91"/>
  <sheetViews>
    <sheetView showGridLines="0" workbookViewId="0" topLeftCell="A10">
      <selection activeCell="B7" sqref="B7"/>
    </sheetView>
  </sheetViews>
  <sheetFormatPr defaultColWidth="9.140625" defaultRowHeight="12.75"/>
  <cols>
    <col min="1" max="1" width="5.7109375" style="51" customWidth="1"/>
    <col min="2" max="2" width="40.7109375" style="51" customWidth="1"/>
    <col min="3" max="3" width="9.7109375" style="51" customWidth="1"/>
    <col min="4" max="4" width="3.140625" style="51" customWidth="1"/>
    <col min="5" max="5" width="7.140625" style="52" customWidth="1"/>
    <col min="6" max="6" width="9.28125" style="51" customWidth="1"/>
    <col min="7" max="7" width="11.421875" style="51" customWidth="1"/>
    <col min="8" max="8" width="24.7109375" style="51" bestFit="1" customWidth="1"/>
    <col min="9" max="9" width="6.8515625" style="51" customWidth="1"/>
    <col min="10" max="21" width="5.7109375" style="51" customWidth="1"/>
    <col min="22" max="16384" width="9.140625" style="23" customWidth="1"/>
  </cols>
  <sheetData>
    <row r="1" ht="12.75"/>
    <row r="2" spans="2:7" ht="12.75">
      <c r="B2" s="2"/>
      <c r="G2" s="53"/>
    </row>
    <row r="3" ht="7.5" customHeight="1"/>
    <row r="4" spans="2:4" ht="12.75">
      <c r="B4" s="1" t="s">
        <v>138</v>
      </c>
      <c r="D4" s="54"/>
    </row>
    <row r="5" spans="3:4" ht="6.75" customHeight="1">
      <c r="C5" s="54"/>
      <c r="D5" s="54"/>
    </row>
    <row r="6" ht="10.5" customHeight="1"/>
    <row r="7" spans="2:8" ht="12.75">
      <c r="B7" s="55"/>
      <c r="C7" s="1" t="s">
        <v>215</v>
      </c>
      <c r="D7" s="1"/>
      <c r="F7" s="1" t="s">
        <v>216</v>
      </c>
      <c r="G7" s="56"/>
      <c r="H7" s="1"/>
    </row>
    <row r="8" spans="2:8" ht="12.75">
      <c r="B8" s="2"/>
      <c r="C8" s="1" t="s">
        <v>217</v>
      </c>
      <c r="D8" s="1"/>
      <c r="E8" s="1" t="s">
        <v>234</v>
      </c>
      <c r="F8" s="1" t="s">
        <v>218</v>
      </c>
      <c r="G8" s="2"/>
      <c r="H8" s="2"/>
    </row>
    <row r="9" spans="2:8" ht="12.75">
      <c r="B9" s="2"/>
      <c r="C9" s="1" t="s">
        <v>219</v>
      </c>
      <c r="D9" s="1"/>
      <c r="E9" s="1" t="s">
        <v>233</v>
      </c>
      <c r="F9" s="1" t="s">
        <v>220</v>
      </c>
      <c r="G9" s="2"/>
      <c r="H9" s="2"/>
    </row>
    <row r="10" spans="2:8" ht="9.75" customHeight="1">
      <c r="B10" s="2"/>
      <c r="C10" s="2"/>
      <c r="D10" s="2"/>
      <c r="E10" s="1"/>
      <c r="F10" s="2"/>
      <c r="G10" s="2"/>
      <c r="H10" s="2"/>
    </row>
    <row r="11" spans="2:8" ht="12.75">
      <c r="B11" s="57" t="s">
        <v>221</v>
      </c>
      <c r="C11" s="2"/>
      <c r="D11" s="2"/>
      <c r="E11" s="1"/>
      <c r="F11" s="2"/>
      <c r="G11" s="2"/>
      <c r="H11" s="2"/>
    </row>
    <row r="12" spans="2:8" ht="7.5" customHeight="1">
      <c r="B12" s="2"/>
      <c r="C12" s="2"/>
      <c r="D12" s="2"/>
      <c r="E12" s="1"/>
      <c r="F12" s="2"/>
      <c r="G12" s="2"/>
      <c r="H12" s="2"/>
    </row>
    <row r="13" spans="2:8" ht="12.75">
      <c r="B13" s="2" t="s">
        <v>222</v>
      </c>
      <c r="C13" s="58">
        <v>4392</v>
      </c>
      <c r="D13" s="58"/>
      <c r="E13" s="52">
        <v>25</v>
      </c>
      <c r="F13" s="59">
        <f>C13*E13/100</f>
        <v>1098</v>
      </c>
      <c r="G13" s="2"/>
      <c r="H13" s="2"/>
    </row>
    <row r="14" spans="2:8" ht="12.75">
      <c r="B14" s="2"/>
      <c r="C14" s="58"/>
      <c r="D14" s="58"/>
      <c r="F14" s="59"/>
      <c r="G14" s="2"/>
      <c r="H14" s="2"/>
    </row>
    <row r="15" spans="2:8" ht="12.75">
      <c r="B15" s="2" t="s">
        <v>236</v>
      </c>
      <c r="C15" s="58"/>
      <c r="D15" s="58"/>
      <c r="F15" s="59"/>
      <c r="G15" s="2"/>
      <c r="H15" s="2"/>
    </row>
    <row r="16" spans="2:8" ht="12.75">
      <c r="B16" s="51" t="s">
        <v>330</v>
      </c>
      <c r="C16" s="51">
        <v>60</v>
      </c>
      <c r="E16" s="52">
        <v>50</v>
      </c>
      <c r="F16" s="59">
        <f>C16*E16/100</f>
        <v>30</v>
      </c>
      <c r="G16" s="2"/>
      <c r="H16" s="2"/>
    </row>
    <row r="17" spans="6:8" ht="12.75">
      <c r="F17" s="59"/>
      <c r="G17" s="2"/>
      <c r="H17" s="136" t="s">
        <v>111</v>
      </c>
    </row>
    <row r="18" spans="2:8" ht="12.75">
      <c r="B18" s="60" t="s">
        <v>214</v>
      </c>
      <c r="G18" s="2"/>
      <c r="H18" s="2"/>
    </row>
    <row r="19" spans="2:8" ht="12.75">
      <c r="B19" s="61" t="s">
        <v>302</v>
      </c>
      <c r="C19" s="51">
        <v>100</v>
      </c>
      <c r="E19" s="52">
        <v>100</v>
      </c>
      <c r="F19" s="59">
        <f>C19*E19/100</f>
        <v>100</v>
      </c>
      <c r="G19" s="2"/>
      <c r="H19" s="2"/>
    </row>
    <row r="20" spans="2:8" ht="12.75">
      <c r="B20" s="61" t="s">
        <v>331</v>
      </c>
      <c r="C20" s="51">
        <v>50</v>
      </c>
      <c r="E20" s="52">
        <v>100</v>
      </c>
      <c r="F20" s="59">
        <f>C20*E20/100</f>
        <v>50</v>
      </c>
      <c r="G20" s="2"/>
      <c r="H20" s="2"/>
    </row>
    <row r="21" spans="7:8" ht="8.25" customHeight="1">
      <c r="G21" s="2"/>
      <c r="H21" s="2"/>
    </row>
    <row r="22" spans="2:8" ht="12.75">
      <c r="B22" s="2" t="s">
        <v>223</v>
      </c>
      <c r="C22" s="62">
        <f>SUM(C13:C20)</f>
        <v>4602</v>
      </c>
      <c r="D22" s="62"/>
      <c r="E22" s="63"/>
      <c r="F22" s="62">
        <f>SUM(F13:F20)</f>
        <v>1278</v>
      </c>
      <c r="G22" s="2"/>
      <c r="H22" s="2"/>
    </row>
    <row r="23" spans="2:8" ht="12.75">
      <c r="B23" s="2"/>
      <c r="C23" s="2"/>
      <c r="D23" s="2"/>
      <c r="E23" s="1"/>
      <c r="F23" s="2"/>
      <c r="G23" s="2"/>
      <c r="H23" s="2"/>
    </row>
    <row r="24" ht="12.75">
      <c r="B24" s="57" t="s">
        <v>224</v>
      </c>
    </row>
    <row r="25" ht="12.75">
      <c r="B25" s="57"/>
    </row>
    <row r="26" spans="2:6" ht="12.75">
      <c r="B26" s="2" t="s">
        <v>222</v>
      </c>
      <c r="C26" s="58">
        <f>18000-C13</f>
        <v>13608</v>
      </c>
      <c r="E26" s="52">
        <v>25</v>
      </c>
      <c r="F26" s="59">
        <f>C26*0.25</f>
        <v>3402</v>
      </c>
    </row>
    <row r="27" ht="12.75">
      <c r="B27" s="57"/>
    </row>
    <row r="28" spans="2:6" ht="12.75">
      <c r="B28" s="2" t="s">
        <v>258</v>
      </c>
      <c r="C28" s="51">
        <v>60</v>
      </c>
      <c r="E28" s="52">
        <v>50</v>
      </c>
      <c r="F28" s="59">
        <f>C28*0.5</f>
        <v>30</v>
      </c>
    </row>
    <row r="29" ht="12.75">
      <c r="B29" s="57"/>
    </row>
    <row r="30" spans="2:6" ht="12.75">
      <c r="B30" s="60" t="s">
        <v>214</v>
      </c>
      <c r="C30" s="59">
        <v>4815</v>
      </c>
      <c r="D30" s="59"/>
      <c r="E30" s="64">
        <v>100</v>
      </c>
      <c r="F30" s="51">
        <f>C30</f>
        <v>4815</v>
      </c>
    </row>
    <row r="31" spans="3:6" ht="12.75">
      <c r="C31" s="59"/>
      <c r="D31" s="59"/>
      <c r="E31" s="64"/>
      <c r="F31" s="59"/>
    </row>
    <row r="32" spans="2:6" ht="12.75">
      <c r="B32" s="2" t="s">
        <v>225</v>
      </c>
      <c r="C32" s="65">
        <f>SUM(C26:C30)</f>
        <v>18483</v>
      </c>
      <c r="D32" s="65"/>
      <c r="E32" s="66"/>
      <c r="F32" s="65">
        <f>SUM(F26:F30)</f>
        <v>8247</v>
      </c>
    </row>
    <row r="33" spans="3:6" ht="10.5" customHeight="1">
      <c r="C33" s="67"/>
      <c r="D33" s="67"/>
      <c r="E33" s="68"/>
      <c r="F33" s="67"/>
    </row>
    <row r="34" spans="2:6" ht="12.75">
      <c r="B34" s="2" t="s">
        <v>226</v>
      </c>
      <c r="C34" s="69">
        <f>C22+C32</f>
        <v>23085</v>
      </c>
      <c r="D34" s="69"/>
      <c r="E34" s="70"/>
      <c r="F34" s="69">
        <f>F22+F32</f>
        <v>9525</v>
      </c>
    </row>
    <row r="35" spans="3:6" ht="12.75">
      <c r="C35" s="59"/>
      <c r="D35" s="59"/>
      <c r="E35" s="64"/>
      <c r="F35" s="59"/>
    </row>
    <row r="36" spans="2:6" ht="12.75">
      <c r="B36" s="2" t="s">
        <v>265</v>
      </c>
      <c r="C36" s="59"/>
      <c r="D36" s="59"/>
      <c r="E36" s="64"/>
      <c r="F36" s="67">
        <v>500</v>
      </c>
    </row>
    <row r="37" spans="3:6" ht="12.75">
      <c r="C37" s="59"/>
      <c r="D37" s="59"/>
      <c r="E37" s="64"/>
      <c r="F37" s="59"/>
    </row>
    <row r="38" spans="2:6" ht="12.75">
      <c r="B38" s="2" t="s">
        <v>340</v>
      </c>
      <c r="C38" s="59"/>
      <c r="D38" s="59"/>
      <c r="E38" s="64"/>
      <c r="F38" s="65">
        <f>F34-F36</f>
        <v>9025</v>
      </c>
    </row>
    <row r="39" spans="3:6" ht="12.75">
      <c r="C39" s="59"/>
      <c r="D39" s="59"/>
      <c r="E39" s="64"/>
      <c r="F39" s="59"/>
    </row>
    <row r="40" spans="2:6" ht="12.75">
      <c r="B40" s="2" t="s">
        <v>194</v>
      </c>
      <c r="C40" s="59"/>
      <c r="D40" s="59"/>
      <c r="E40" s="64"/>
      <c r="F40" s="180">
        <v>14082</v>
      </c>
    </row>
    <row r="41" spans="2:6" ht="12.75">
      <c r="B41" s="2" t="s">
        <v>341</v>
      </c>
      <c r="C41" s="59"/>
      <c r="D41" s="59"/>
      <c r="E41" s="64"/>
      <c r="F41" s="67">
        <f>SUM(F38:F40)</f>
        <v>23107</v>
      </c>
    </row>
    <row r="42" spans="2:6" ht="12.75">
      <c r="B42" s="2"/>
      <c r="C42" s="59"/>
      <c r="D42" s="59"/>
      <c r="E42" s="64"/>
      <c r="F42" s="59"/>
    </row>
    <row r="43" spans="2:6" ht="12.75">
      <c r="B43" s="2" t="s">
        <v>342</v>
      </c>
      <c r="C43" s="59"/>
      <c r="D43" s="59"/>
      <c r="E43" s="64"/>
      <c r="F43" s="67">
        <f>'Appendix 1'!AB804*1000</f>
        <v>12001.000000000002</v>
      </c>
    </row>
    <row r="44" spans="2:6" ht="12.75">
      <c r="B44" s="2"/>
      <c r="C44" s="59"/>
      <c r="D44" s="59"/>
      <c r="E44" s="64"/>
      <c r="F44" s="59"/>
    </row>
    <row r="45" spans="2:7" ht="12.75">
      <c r="B45" s="2" t="s">
        <v>193</v>
      </c>
      <c r="C45" s="83"/>
      <c r="E45" s="64"/>
      <c r="F45" s="179">
        <f>F41-F43</f>
        <v>11105.999999999998</v>
      </c>
      <c r="G45" s="2"/>
    </row>
    <row r="46" spans="3:6" ht="12.75">
      <c r="C46" s="59"/>
      <c r="D46" s="59"/>
      <c r="E46" s="64"/>
      <c r="F46" s="23"/>
    </row>
    <row r="47" spans="3:6" ht="12.75">
      <c r="C47" s="59"/>
      <c r="D47" s="59"/>
      <c r="E47" s="64"/>
      <c r="F47" s="59"/>
    </row>
    <row r="48" spans="3:6" ht="12.75">
      <c r="C48" s="59"/>
      <c r="D48" s="59"/>
      <c r="E48" s="64"/>
      <c r="F48" s="59"/>
    </row>
    <row r="49" spans="3:6" ht="12.75">
      <c r="C49" s="59"/>
      <c r="D49" s="59"/>
      <c r="E49" s="64"/>
      <c r="F49" s="59"/>
    </row>
    <row r="50" spans="3:6" ht="12.75">
      <c r="C50" s="59"/>
      <c r="D50" s="59"/>
      <c r="E50" s="64"/>
      <c r="F50" s="59"/>
    </row>
    <row r="51" spans="3:6" ht="12.75">
      <c r="C51" s="59"/>
      <c r="D51" s="59"/>
      <c r="E51" s="64"/>
      <c r="F51" s="59"/>
    </row>
    <row r="52" spans="3:6" ht="12.75">
      <c r="C52" s="59"/>
      <c r="D52" s="59"/>
      <c r="E52" s="64"/>
      <c r="F52" s="59"/>
    </row>
    <row r="53" spans="3:6" ht="12.75">
      <c r="C53" s="59"/>
      <c r="D53" s="59"/>
      <c r="E53" s="64"/>
      <c r="F53" s="59"/>
    </row>
    <row r="54" spans="3:6" ht="12.75">
      <c r="C54" s="59"/>
      <c r="D54" s="59"/>
      <c r="E54" s="64"/>
      <c r="F54" s="59"/>
    </row>
    <row r="55" spans="3:6" ht="12.75">
      <c r="C55" s="59"/>
      <c r="D55" s="59"/>
      <c r="E55" s="64"/>
      <c r="F55" s="59"/>
    </row>
    <row r="56" spans="3:6" ht="12.75">
      <c r="C56" s="59"/>
      <c r="D56" s="59"/>
      <c r="E56" s="64"/>
      <c r="F56" s="59"/>
    </row>
    <row r="57" spans="3:6" ht="12.75">
      <c r="C57" s="59"/>
      <c r="D57" s="59"/>
      <c r="E57" s="64"/>
      <c r="F57" s="59"/>
    </row>
    <row r="58" spans="3:7" ht="12.75">
      <c r="C58" s="59"/>
      <c r="D58" s="59"/>
      <c r="E58" s="64"/>
      <c r="F58" s="59"/>
      <c r="G58" s="71"/>
    </row>
    <row r="59" spans="2:6" ht="12.75">
      <c r="B59" s="72"/>
      <c r="C59" s="59"/>
      <c r="D59" s="59"/>
      <c r="E59" s="64"/>
      <c r="F59" s="59"/>
    </row>
    <row r="60" spans="2:6" ht="12.75">
      <c r="B60" s="61"/>
      <c r="C60" s="59"/>
      <c r="D60" s="59"/>
      <c r="E60" s="64"/>
      <c r="F60" s="59"/>
    </row>
    <row r="61" spans="3:6" ht="12.75">
      <c r="C61" s="59"/>
      <c r="D61" s="59"/>
      <c r="E61" s="64"/>
      <c r="F61" s="59"/>
    </row>
    <row r="62" spans="2:6" ht="12.75">
      <c r="B62" s="61"/>
      <c r="C62" s="73"/>
      <c r="D62" s="73"/>
      <c r="E62" s="64"/>
      <c r="F62" s="59"/>
    </row>
    <row r="63" spans="2:6" ht="12.75">
      <c r="B63" s="72"/>
      <c r="C63" s="73"/>
      <c r="D63" s="73"/>
      <c r="E63" s="64"/>
      <c r="F63" s="59"/>
    </row>
    <row r="64" spans="2:6" ht="12.75">
      <c r="B64" s="72"/>
      <c r="C64" s="73"/>
      <c r="D64" s="73"/>
      <c r="E64" s="64"/>
      <c r="F64" s="59"/>
    </row>
    <row r="65" spans="2:6" ht="12.75">
      <c r="B65" s="72"/>
      <c r="C65" s="73"/>
      <c r="D65" s="73"/>
      <c r="E65" s="64"/>
      <c r="F65" s="59"/>
    </row>
    <row r="66" spans="2:7" ht="12.75">
      <c r="B66" s="61"/>
      <c r="C66" s="59"/>
      <c r="D66" s="59"/>
      <c r="E66" s="64"/>
      <c r="F66" s="59"/>
      <c r="G66" s="71"/>
    </row>
    <row r="67" spans="2:6" ht="12.75">
      <c r="B67" s="72"/>
      <c r="C67" s="73"/>
      <c r="D67" s="73"/>
      <c r="E67" s="64"/>
      <c r="F67" s="59"/>
    </row>
    <row r="68" spans="2:6" ht="12.75">
      <c r="B68" s="72"/>
      <c r="C68" s="73"/>
      <c r="D68" s="73"/>
      <c r="E68" s="64"/>
      <c r="F68" s="59"/>
    </row>
    <row r="69" spans="2:6" ht="12.75">
      <c r="B69" s="72"/>
      <c r="C69" s="59"/>
      <c r="D69" s="59"/>
      <c r="E69" s="64"/>
      <c r="F69" s="59"/>
    </row>
    <row r="70" spans="2:7" ht="12.75">
      <c r="B70" s="72"/>
      <c r="C70" s="73"/>
      <c r="D70" s="73"/>
      <c r="E70" s="64"/>
      <c r="F70" s="59"/>
      <c r="G70" s="71"/>
    </row>
    <row r="71" spans="2:7" ht="12.75">
      <c r="B71" s="61"/>
      <c r="C71" s="59"/>
      <c r="D71" s="59"/>
      <c r="E71" s="64"/>
      <c r="F71" s="59"/>
      <c r="G71" s="71"/>
    </row>
    <row r="72" spans="2:7" ht="12.75">
      <c r="B72" s="61"/>
      <c r="C72" s="73"/>
      <c r="D72" s="73"/>
      <c r="E72" s="64"/>
      <c r="F72" s="59"/>
      <c r="G72" s="71"/>
    </row>
    <row r="73" spans="2:7" ht="12.75">
      <c r="B73" s="61"/>
      <c r="C73" s="59"/>
      <c r="D73" s="59"/>
      <c r="E73" s="64"/>
      <c r="F73" s="59"/>
      <c r="G73" s="71"/>
    </row>
    <row r="74" spans="2:7" ht="12.75">
      <c r="B74" s="72"/>
      <c r="C74" s="73"/>
      <c r="D74" s="73"/>
      <c r="E74" s="64"/>
      <c r="F74" s="59"/>
      <c r="G74" s="71"/>
    </row>
    <row r="75" spans="2:7" ht="12.75">
      <c r="B75" s="72"/>
      <c r="C75" s="73"/>
      <c r="D75" s="73"/>
      <c r="E75" s="64"/>
      <c r="F75" s="59"/>
      <c r="G75" s="71"/>
    </row>
    <row r="76" spans="2:7" ht="12.75">
      <c r="B76" s="61"/>
      <c r="C76" s="59"/>
      <c r="D76" s="59"/>
      <c r="E76" s="64"/>
      <c r="F76" s="59"/>
      <c r="G76" s="71"/>
    </row>
    <row r="77" spans="2:7" ht="12.75">
      <c r="B77" s="61"/>
      <c r="C77" s="59"/>
      <c r="D77" s="59"/>
      <c r="E77" s="64"/>
      <c r="F77" s="59"/>
      <c r="G77" s="71"/>
    </row>
    <row r="78" spans="2:7" ht="12.75">
      <c r="B78" s="61"/>
      <c r="C78" s="59"/>
      <c r="D78" s="59"/>
      <c r="E78" s="64"/>
      <c r="F78" s="59"/>
      <c r="G78" s="71"/>
    </row>
    <row r="79" spans="2:7" ht="12.75">
      <c r="B79" s="72"/>
      <c r="C79" s="73"/>
      <c r="D79" s="73"/>
      <c r="E79" s="64"/>
      <c r="F79" s="59"/>
      <c r="G79" s="71"/>
    </row>
    <row r="80" spans="2:7" ht="12.75">
      <c r="B80" s="61"/>
      <c r="C80" s="59"/>
      <c r="D80" s="59"/>
      <c r="E80" s="64"/>
      <c r="F80" s="59"/>
      <c r="G80" s="71"/>
    </row>
    <row r="81" spans="2:7" ht="12.75">
      <c r="B81" s="61"/>
      <c r="C81" s="59"/>
      <c r="D81" s="59"/>
      <c r="E81" s="64"/>
      <c r="F81" s="59"/>
      <c r="G81" s="71"/>
    </row>
    <row r="82" spans="2:7" ht="12.75">
      <c r="B82" s="72"/>
      <c r="C82" s="73"/>
      <c r="D82" s="73"/>
      <c r="E82" s="64"/>
      <c r="F82" s="59"/>
      <c r="G82" s="71"/>
    </row>
    <row r="83" spans="2:7" ht="12.75">
      <c r="B83" s="61"/>
      <c r="C83" s="59"/>
      <c r="D83" s="59"/>
      <c r="E83" s="64"/>
      <c r="F83" s="59"/>
      <c r="G83" s="71"/>
    </row>
    <row r="84" spans="2:7" ht="12.75">
      <c r="B84" s="61"/>
      <c r="C84" s="59"/>
      <c r="D84" s="59"/>
      <c r="E84" s="64"/>
      <c r="F84" s="59"/>
      <c r="G84" s="71"/>
    </row>
    <row r="85" spans="2:7" ht="12.75">
      <c r="B85" s="72"/>
      <c r="C85" s="73"/>
      <c r="D85" s="73"/>
      <c r="E85" s="64"/>
      <c r="F85" s="59"/>
      <c r="G85" s="71"/>
    </row>
    <row r="86" spans="2:7" ht="12.75">
      <c r="B86" s="61"/>
      <c r="C86" s="73"/>
      <c r="D86" s="73"/>
      <c r="E86" s="64"/>
      <c r="F86" s="59"/>
      <c r="G86" s="71"/>
    </row>
    <row r="87" spans="2:7" ht="12.75">
      <c r="B87" s="61"/>
      <c r="C87" s="59"/>
      <c r="D87" s="59"/>
      <c r="E87" s="64"/>
      <c r="F87" s="59"/>
      <c r="G87" s="71"/>
    </row>
    <row r="88" spans="2:7" ht="12.75">
      <c r="B88" s="61"/>
      <c r="C88" s="73"/>
      <c r="D88" s="73"/>
      <c r="E88" s="64"/>
      <c r="F88" s="59"/>
      <c r="G88" s="71"/>
    </row>
    <row r="89" spans="2:7" ht="12.75">
      <c r="B89" s="61"/>
      <c r="C89" s="73"/>
      <c r="D89" s="73"/>
      <c r="E89" s="64"/>
      <c r="F89" s="59"/>
      <c r="G89" s="71"/>
    </row>
    <row r="90" spans="2:7" ht="12.75">
      <c r="B90" s="61"/>
      <c r="C90" s="73"/>
      <c r="D90" s="73"/>
      <c r="E90" s="64"/>
      <c r="F90" s="59"/>
      <c r="G90" s="71"/>
    </row>
    <row r="91" spans="2:7" ht="12.75">
      <c r="B91" s="61"/>
      <c r="C91" s="73"/>
      <c r="D91" s="73"/>
      <c r="E91" s="64"/>
      <c r="F91" s="59"/>
      <c r="G91" s="71"/>
    </row>
  </sheetData>
  <printOptions horizontalCentered="1"/>
  <pageMargins left="0.15748031496062992" right="0.15748031496062992" top="0.3937007874015748" bottom="0.3937007874015748" header="0" footer="0.31496062992125984"/>
  <pageSetup fitToHeight="1" fitToWidth="1" horizontalDpi="300" verticalDpi="300" orientation="portrait" paperSize="9" r:id="rId3"/>
  <headerFooter alignWithMargins="0">
    <oddHeader>&amp;R&amp;"Arial,Bold"&amp;UAppendix  2</oddHeader>
    <oddFooter>&amp;L&amp;F&amp;R&amp;D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3"/>
  <sheetViews>
    <sheetView workbookViewId="0" topLeftCell="A1">
      <selection activeCell="A16" sqref="A16"/>
    </sheetView>
  </sheetViews>
  <sheetFormatPr defaultColWidth="9.140625" defaultRowHeight="12.75"/>
  <cols>
    <col min="1" max="1" width="45.00390625" style="104" customWidth="1"/>
    <col min="2" max="2" width="11.00390625" style="104" customWidth="1"/>
    <col min="3" max="5" width="30.7109375" style="104" customWidth="1"/>
    <col min="6" max="16384" width="9.140625" style="104" customWidth="1"/>
  </cols>
  <sheetData>
    <row r="1" ht="12.75">
      <c r="A1" s="103" t="s">
        <v>137</v>
      </c>
    </row>
    <row r="2" ht="12.75">
      <c r="A2" s="103" t="s">
        <v>78</v>
      </c>
    </row>
    <row r="4" ht="12.75">
      <c r="A4" s="23"/>
    </row>
    <row r="5" spans="1:5" ht="25.5">
      <c r="A5" s="345" t="s">
        <v>73</v>
      </c>
      <c r="B5" s="105" t="s">
        <v>74</v>
      </c>
      <c r="C5" s="345" t="s">
        <v>75</v>
      </c>
      <c r="D5" s="345" t="s">
        <v>76</v>
      </c>
      <c r="E5" s="345" t="s">
        <v>77</v>
      </c>
    </row>
    <row r="6" spans="1:5" ht="12.75">
      <c r="A6" s="346"/>
      <c r="B6" s="106" t="s">
        <v>232</v>
      </c>
      <c r="C6" s="346"/>
      <c r="D6" s="346"/>
      <c r="E6" s="346"/>
    </row>
    <row r="7" spans="1:5" ht="21.75" customHeight="1">
      <c r="A7" s="203" t="s">
        <v>179</v>
      </c>
      <c r="B7" s="188">
        <v>0.1</v>
      </c>
      <c r="C7" s="107"/>
      <c r="D7" s="107"/>
      <c r="E7" s="107" t="s">
        <v>343</v>
      </c>
    </row>
    <row r="8" spans="1:5" ht="21.75" customHeight="1">
      <c r="A8" s="203" t="s">
        <v>4</v>
      </c>
      <c r="B8" s="188">
        <v>0.1</v>
      </c>
      <c r="C8" s="107"/>
      <c r="D8" s="107"/>
      <c r="E8" s="107" t="s">
        <v>5</v>
      </c>
    </row>
    <row r="9" spans="1:5" ht="21.75" customHeight="1">
      <c r="A9" s="203" t="s">
        <v>328</v>
      </c>
      <c r="B9" s="188">
        <v>0.3</v>
      </c>
      <c r="C9" s="107"/>
      <c r="D9" s="107"/>
      <c r="E9" s="107" t="s">
        <v>344</v>
      </c>
    </row>
    <row r="10" spans="1:5" ht="21.75" customHeight="1">
      <c r="A10" s="203" t="s">
        <v>180</v>
      </c>
      <c r="B10" s="188">
        <v>0.35</v>
      </c>
      <c r="C10" s="107"/>
      <c r="D10" s="107"/>
      <c r="E10" s="108" t="s">
        <v>343</v>
      </c>
    </row>
    <row r="11" spans="1:5" ht="21.75" customHeight="1">
      <c r="A11" s="203" t="s">
        <v>329</v>
      </c>
      <c r="B11" s="188">
        <v>0.75</v>
      </c>
      <c r="C11" s="107"/>
      <c r="D11" s="107"/>
      <c r="E11" s="108" t="s">
        <v>345</v>
      </c>
    </row>
    <row r="12" spans="1:5" ht="21.75" customHeight="1">
      <c r="A12" s="203" t="s">
        <v>181</v>
      </c>
      <c r="B12" s="188">
        <v>0.75</v>
      </c>
      <c r="C12" s="107"/>
      <c r="D12" s="107"/>
      <c r="E12" s="108" t="s">
        <v>343</v>
      </c>
    </row>
    <row r="13" spans="1:5" ht="21.75" customHeight="1">
      <c r="A13" s="203" t="s">
        <v>182</v>
      </c>
      <c r="B13" s="188">
        <v>2</v>
      </c>
      <c r="C13" s="107"/>
      <c r="D13" s="107"/>
      <c r="E13" s="108" t="s">
        <v>343</v>
      </c>
    </row>
  </sheetData>
  <mergeCells count="4">
    <mergeCell ref="A5:A6"/>
    <mergeCell ref="C5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&amp;R&amp;"Arial,Bold"&amp;UAppendix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3:M27"/>
  <sheetViews>
    <sheetView showGridLines="0" tabSelected="1" workbookViewId="0" topLeftCell="A1">
      <selection activeCell="F27" sqref="F27"/>
    </sheetView>
  </sheetViews>
  <sheetFormatPr defaultColWidth="9.140625" defaultRowHeight="12.75"/>
  <cols>
    <col min="1" max="1" width="5.7109375" style="51" customWidth="1"/>
    <col min="2" max="2" width="12.8515625" style="51" customWidth="1"/>
    <col min="3" max="5" width="5.7109375" style="51" customWidth="1"/>
    <col min="6" max="6" width="28.28125" style="51" customWidth="1"/>
    <col min="7" max="7" width="8.140625" style="51" customWidth="1"/>
    <col min="8" max="8" width="3.421875" style="51" customWidth="1"/>
    <col min="9" max="9" width="9.7109375" style="51" customWidth="1"/>
    <col min="10" max="10" width="2.8515625" style="51" customWidth="1"/>
    <col min="11" max="11" width="8.140625" style="51" customWidth="1"/>
    <col min="12" max="12" width="2.421875" style="51" customWidth="1"/>
    <col min="13" max="13" width="37.7109375" style="51" customWidth="1"/>
    <col min="14" max="14" width="5.7109375" style="51" customWidth="1"/>
    <col min="15" max="15" width="11.8515625" style="51" customWidth="1"/>
    <col min="16" max="17" width="5.7109375" style="51" customWidth="1"/>
    <col min="18" max="16384" width="9.140625" style="23" customWidth="1"/>
  </cols>
  <sheetData>
    <row r="3" ht="12.75">
      <c r="B3" s="57" t="s">
        <v>135</v>
      </c>
    </row>
    <row r="4" ht="12.75">
      <c r="B4" s="2"/>
    </row>
    <row r="6" spans="2:13" ht="12.75">
      <c r="B6" s="57" t="s">
        <v>237</v>
      </c>
      <c r="G6" s="2"/>
      <c r="I6" s="54" t="s">
        <v>238</v>
      </c>
      <c r="J6" s="2"/>
      <c r="K6" s="2"/>
      <c r="M6" s="54" t="s">
        <v>239</v>
      </c>
    </row>
    <row r="7" spans="2:11" ht="6" customHeight="1">
      <c r="B7" s="57"/>
      <c r="G7" s="2"/>
      <c r="H7" s="1"/>
      <c r="I7" s="2"/>
      <c r="J7" s="2"/>
      <c r="K7" s="2"/>
    </row>
    <row r="8" spans="7:13" ht="12" customHeight="1">
      <c r="G8" s="54" t="s">
        <v>289</v>
      </c>
      <c r="H8" s="57"/>
      <c r="I8" s="54" t="s">
        <v>136</v>
      </c>
      <c r="J8" s="57"/>
      <c r="K8" s="54" t="s">
        <v>235</v>
      </c>
      <c r="M8" s="54" t="s">
        <v>240</v>
      </c>
    </row>
    <row r="9" spans="7:11" ht="12" customHeight="1">
      <c r="G9" s="54"/>
      <c r="H9" s="57"/>
      <c r="I9" s="54" t="s">
        <v>241</v>
      </c>
      <c r="J9" s="57"/>
      <c r="K9" s="54"/>
    </row>
    <row r="10" spans="7:11" ht="12.75">
      <c r="G10" s="1" t="s">
        <v>232</v>
      </c>
      <c r="H10" s="2"/>
      <c r="I10" s="1" t="s">
        <v>232</v>
      </c>
      <c r="J10" s="2"/>
      <c r="K10" s="1" t="s">
        <v>232</v>
      </c>
    </row>
    <row r="11" spans="7:11" ht="12.75">
      <c r="G11" s="52"/>
      <c r="I11" s="52"/>
      <c r="K11" s="52"/>
    </row>
    <row r="12" spans="2:11" ht="12.75">
      <c r="B12" s="57"/>
      <c r="G12" s="74"/>
      <c r="H12" s="53"/>
      <c r="I12" s="75"/>
      <c r="J12" s="53"/>
      <c r="K12" s="75"/>
    </row>
    <row r="13" spans="2:13" ht="24" customHeight="1">
      <c r="B13" s="51" t="s">
        <v>617</v>
      </c>
      <c r="G13" s="53">
        <v>0.735</v>
      </c>
      <c r="H13" s="53"/>
      <c r="I13" s="101">
        <v>0</v>
      </c>
      <c r="J13" s="53"/>
      <c r="K13" s="101">
        <f aca="true" t="shared" si="0" ref="K13:K19">SUM(G13:I13)</f>
        <v>0.735</v>
      </c>
      <c r="M13" s="51" t="s">
        <v>618</v>
      </c>
    </row>
    <row r="14" spans="1:13" ht="24" customHeight="1">
      <c r="A14" s="61"/>
      <c r="B14" s="51" t="s">
        <v>619</v>
      </c>
      <c r="G14" s="101">
        <v>0.445</v>
      </c>
      <c r="H14" s="101"/>
      <c r="I14" s="101">
        <v>7.401</v>
      </c>
      <c r="J14" s="101"/>
      <c r="K14" s="101">
        <f t="shared" si="0"/>
        <v>7.846</v>
      </c>
      <c r="M14" s="76" t="s">
        <v>618</v>
      </c>
    </row>
    <row r="15" spans="1:13" ht="24" customHeight="1">
      <c r="A15" s="61"/>
      <c r="B15" s="12" t="s">
        <v>622</v>
      </c>
      <c r="G15" s="101">
        <v>0.64</v>
      </c>
      <c r="H15" s="101"/>
      <c r="I15" s="101">
        <v>0.1</v>
      </c>
      <c r="J15" s="101"/>
      <c r="K15" s="101">
        <f t="shared" si="0"/>
        <v>0.74</v>
      </c>
      <c r="M15" s="76" t="s">
        <v>277</v>
      </c>
    </row>
    <row r="16" spans="1:13" ht="24" customHeight="1">
      <c r="A16" s="61"/>
      <c r="B16" s="51" t="s">
        <v>623</v>
      </c>
      <c r="G16" s="101">
        <v>0.2</v>
      </c>
      <c r="H16" s="101"/>
      <c r="I16" s="101">
        <v>1.45</v>
      </c>
      <c r="J16" s="101"/>
      <c r="K16" s="101">
        <f t="shared" si="0"/>
        <v>1.65</v>
      </c>
      <c r="M16" s="76" t="s">
        <v>277</v>
      </c>
    </row>
    <row r="17" spans="1:13" ht="24" customHeight="1">
      <c r="A17" s="61"/>
      <c r="B17" s="12" t="s">
        <v>624</v>
      </c>
      <c r="G17" s="101">
        <v>0.027</v>
      </c>
      <c r="H17" s="101"/>
      <c r="I17" s="101">
        <v>0.002</v>
      </c>
      <c r="J17" s="101"/>
      <c r="K17" s="101">
        <f t="shared" si="0"/>
        <v>0.028999999999999998</v>
      </c>
      <c r="M17" s="51" t="s">
        <v>351</v>
      </c>
    </row>
    <row r="18" spans="1:13" ht="24" customHeight="1">
      <c r="A18" s="61"/>
      <c r="B18" s="12" t="s">
        <v>626</v>
      </c>
      <c r="G18" s="101">
        <v>0.022</v>
      </c>
      <c r="H18" s="101"/>
      <c r="I18" s="101">
        <v>0.002</v>
      </c>
      <c r="J18" s="101"/>
      <c r="K18" s="101">
        <f t="shared" si="0"/>
        <v>0.024</v>
      </c>
      <c r="M18" s="76" t="s">
        <v>351</v>
      </c>
    </row>
    <row r="19" spans="1:13" ht="24" customHeight="1">
      <c r="A19" s="61"/>
      <c r="B19" s="12" t="s">
        <v>627</v>
      </c>
      <c r="G19" s="101">
        <v>0.064</v>
      </c>
      <c r="H19" s="101"/>
      <c r="I19" s="101">
        <v>0.002</v>
      </c>
      <c r="J19" s="101"/>
      <c r="K19" s="101">
        <f t="shared" si="0"/>
        <v>0.066</v>
      </c>
      <c r="M19" s="76" t="s">
        <v>369</v>
      </c>
    </row>
    <row r="20" spans="7:13" ht="24" customHeight="1">
      <c r="G20" s="101"/>
      <c r="H20" s="53"/>
      <c r="I20" s="101"/>
      <c r="J20" s="53"/>
      <c r="K20" s="101"/>
      <c r="M20" s="76"/>
    </row>
    <row r="21" spans="7:11" ht="24" customHeight="1" thickBot="1">
      <c r="G21" s="154">
        <f>SUM(G12:G20)</f>
        <v>2.133</v>
      </c>
      <c r="H21" s="77"/>
      <c r="I21" s="154">
        <f>SUM(I12:I20)</f>
        <v>8.957</v>
      </c>
      <c r="J21" s="77"/>
      <c r="K21" s="154">
        <f>SUM(K12:K20)</f>
        <v>11.09</v>
      </c>
    </row>
    <row r="22" ht="13.5" thickTop="1"/>
    <row r="24" ht="12.75">
      <c r="C24" s="23"/>
    </row>
    <row r="25" ht="12.75">
      <c r="C25" s="23"/>
    </row>
    <row r="26" ht="12.75">
      <c r="C26" s="175"/>
    </row>
    <row r="27" ht="12.75">
      <c r="C27" s="175"/>
    </row>
  </sheetData>
  <printOptions/>
  <pageMargins left="0.7480314960629921" right="0.7480314960629921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&amp;R&amp;"Arial,Bold"&amp;UAppendix  4
&amp;"Arial,Regular"&amp;U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perspkidd</cp:lastModifiedBy>
  <cp:lastPrinted>2005-06-30T09:46:09Z</cp:lastPrinted>
  <dcterms:created xsi:type="dcterms:W3CDTF">1998-11-26T10:24:39Z</dcterms:created>
  <dcterms:modified xsi:type="dcterms:W3CDTF">2005-06-30T09:47:23Z</dcterms:modified>
  <cp:category/>
  <cp:version/>
  <cp:contentType/>
  <cp:contentStatus/>
</cp:coreProperties>
</file>