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4" activeTab="1"/>
  </bookViews>
  <sheets>
    <sheet name="Appendix 1a " sheetId="1" r:id="rId1"/>
    <sheet name="Appendix 1b" sheetId="2" r:id="rId2"/>
    <sheet name="Appendix 2" sheetId="3" r:id="rId3"/>
    <sheet name="Appendix 3" sheetId="4" r:id="rId4"/>
    <sheet name="Appendix 4" sheetId="5" r:id="rId5"/>
    <sheet name="Appendix 5" sheetId="6" r:id="rId6"/>
  </sheets>
  <externalReferences>
    <externalReference r:id="rId9"/>
    <externalReference r:id="rId10"/>
    <externalReference r:id="rId11"/>
  </externalReferences>
  <definedNames>
    <definedName name="ARTS___LEISURE" localSheetId="2">#REF!</definedName>
    <definedName name="ARTS___LEISURE" localSheetId="5">#REF!</definedName>
    <definedName name="ARTS___LEISURE">#REF!</definedName>
    <definedName name="Barton_Moss_Primary_School" localSheetId="2">#REF!</definedName>
    <definedName name="Barton_Moss_Primary_School" localSheetId="5">#REF!</definedName>
    <definedName name="Barton_Moss_Primary_School">#REF!</definedName>
    <definedName name="Cadishead_Infant_Junior_School" localSheetId="2">#REF!</definedName>
    <definedName name="Cadishead_Infant_Junior_School" localSheetId="5">#REF!</definedName>
    <definedName name="Cadishead_Infant_Junior_School">#REF!</definedName>
    <definedName name="CAPITAL_CHALLENGE" localSheetId="2">#REF!</definedName>
    <definedName name="CAPITAL_CHALLENGE" localSheetId="5">#REF!</definedName>
    <definedName name="CAPITAL_CHALLENGE">#REF!</definedName>
    <definedName name="COUNTRYSIDE_PARTNERSHIP" localSheetId="2">#REF!</definedName>
    <definedName name="COUNTRYSIDE_PARTNERSHIP" localSheetId="5">#REF!</definedName>
    <definedName name="COUNTRYSIDE_PARTNERSHIP">#REF!</definedName>
    <definedName name="EDUCATION" localSheetId="2">#REF!</definedName>
    <definedName name="EDUCATION" localSheetId="5">#REF!</definedName>
    <definedName name="EDUCATION">#REF!</definedName>
    <definedName name="ENVIRONMENTAL___CONSUMER_SERVICES" localSheetId="2">#REF!</definedName>
    <definedName name="ENVIRONMENTAL___CONSUMER_SERVICES" localSheetId="5">#REF!</definedName>
    <definedName name="ENVIRONMENTAL___CONSUMER_SERVICES">#REF!</definedName>
    <definedName name="FINANCE" localSheetId="2">#REF!</definedName>
    <definedName name="FINANCE" localSheetId="5">#REF!</definedName>
    <definedName name="FINANCE">#REF!</definedName>
    <definedName name="HIGHWAYS" localSheetId="2">#REF!</definedName>
    <definedName name="HIGHWAYS" localSheetId="5">#REF!</definedName>
    <definedName name="HIGHWAYS">#REF!</definedName>
    <definedName name="HOUSING" localSheetId="2">#REF!</definedName>
    <definedName name="HOUSING" localSheetId="5">#REF!</definedName>
    <definedName name="HOUSING">#REF!</definedName>
    <definedName name="MANAGEMENT_SERVICES" localSheetId="2">#REF!</definedName>
    <definedName name="MANAGEMENT_SERVICES" localSheetId="5">#REF!</definedName>
    <definedName name="MANAGEMENT_SERVICES">#REF!</definedName>
    <definedName name="POLICY___RESOURCES" localSheetId="2">#REF!</definedName>
    <definedName name="POLICY___RESOURCES" localSheetId="5">#REF!</definedName>
    <definedName name="POLICY___RESOURCES">#REF!</definedName>
    <definedName name="_xlnm.Print_Area" localSheetId="0">'Appendix 1a '!$B$3:$M$44</definedName>
    <definedName name="_xlnm.Print_Area" localSheetId="1">'Appendix 1b'!$C$1:$Z$326</definedName>
    <definedName name="_xlnm.Print_Area" localSheetId="2">'Appendix 2'!$B$3:$O$94</definedName>
    <definedName name="_xlnm.Print_Area" localSheetId="3">'Appendix 3'!$B$2:$G$50</definedName>
    <definedName name="_xlnm.Print_Area" localSheetId="5">'Appendix 5'!$B$3:$M$25</definedName>
    <definedName name="_xlnm.Print_Titles" localSheetId="1">'Appendix 1b'!$C:$F,'Appendix 1b'!$3:$6</definedName>
    <definedName name="_xlnm.Print_Titles" localSheetId="3">'Appendix 3'!$4:$10</definedName>
    <definedName name="SINGLE_REGENERATION_BUDGET_1" localSheetId="2">#REF!</definedName>
    <definedName name="SINGLE_REGENERATION_BUDGET_1" localSheetId="5">#REF!</definedName>
    <definedName name="SINGLE_REGENERATION_BUDGET_1">#REF!</definedName>
    <definedName name="SINGLE_REGENERATION_BUDGET_2" localSheetId="2">#REF!</definedName>
    <definedName name="SINGLE_REGENERATION_BUDGET_2" localSheetId="5">#REF!</definedName>
    <definedName name="SINGLE_REGENERATION_BUDGET_2">#REF!</definedName>
    <definedName name="SINGLE_REGENERATION_BUDGET_3" localSheetId="2">#REF!</definedName>
    <definedName name="SINGLE_REGENERATION_BUDGET_3" localSheetId="5">#REF!</definedName>
    <definedName name="SINGLE_REGENERATION_BUDGET_3">#REF!</definedName>
    <definedName name="SOCIAL_SERVICES" localSheetId="2">#REF!</definedName>
    <definedName name="SOCIAL_SERVICES" localSheetId="5">#REF!</definedName>
    <definedName name="SOCIAL_SERVICES">#REF!</definedName>
  </definedNames>
  <calcPr fullCalcOnLoad="1"/>
</workbook>
</file>

<file path=xl/comments2.xml><?xml version="1.0" encoding="utf-8"?>
<comments xmlns="http://schemas.openxmlformats.org/spreadsheetml/2006/main">
  <authors>
    <author>City of Salford</author>
  </authors>
  <commentList>
    <comment ref="U87" authorId="0">
      <text>
        <r>
          <rPr>
            <b/>
            <sz val="8"/>
            <rFont val="Tahoma"/>
            <family val="0"/>
          </rPr>
          <t xml:space="preserve">includes temp accom buile
</t>
        </r>
      </text>
    </comment>
  </commentList>
</comments>
</file>

<file path=xl/comments4.xml><?xml version="1.0" encoding="utf-8"?>
<comments xmlns="http://schemas.openxmlformats.org/spreadsheetml/2006/main">
  <authors>
    <author>City of Salford</author>
  </authors>
  <commentList>
    <comment ref="C4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mining museum and brentnall  taken off estimate</t>
        </r>
      </text>
    </comment>
  </commentList>
</comments>
</file>

<file path=xl/sharedStrings.xml><?xml version="1.0" encoding="utf-8"?>
<sst xmlns="http://schemas.openxmlformats.org/spreadsheetml/2006/main" count="808" uniqueCount="647">
  <si>
    <t xml:space="preserve">Expenditure 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</si>
  <si>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</si>
  <si>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</si>
  <si>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</si>
  <si>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</si>
  <si>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</si>
  <si>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</si>
  <si>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</si>
  <si>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</si>
  <si>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</si>
  <si>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</si>
  <si>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</si>
  <si>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</si>
  <si>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</si>
  <si>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</si>
  <si>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</si>
  <si>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</si>
  <si>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</si>
  <si>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</si>
  <si>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</si>
  <si>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</si>
  <si>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</si>
  <si>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Sub-Total (Other Services Block)</t>
  </si>
  <si>
    <t>TOTAL - CAPITAL PROGRAMME</t>
  </si>
  <si>
    <t>Estimate</t>
  </si>
  <si>
    <t>CREDIT APPROVALS</t>
  </si>
  <si>
    <t>BCA</t>
  </si>
  <si>
    <t xml:space="preserve">BCA transferred to Other Authorities </t>
  </si>
  <si>
    <t>GRANTS/CONTRIBUTIONS RECEIVABLE</t>
  </si>
  <si>
    <t>Highways - TSG</t>
  </si>
  <si>
    <t>USABLE CAPITAL RECEIPTS</t>
  </si>
  <si>
    <t>OTHER RESOURCES</t>
  </si>
  <si>
    <t>TOTAL - ESTIMATED RESOURCES</t>
  </si>
  <si>
    <t>Adjustments</t>
  </si>
  <si>
    <t>SCA -</t>
  </si>
  <si>
    <t>Control Check</t>
  </si>
  <si>
    <t>ERDF</t>
  </si>
  <si>
    <t>DEVELOPMENT SERVICES</t>
  </si>
  <si>
    <t>POLICY</t>
  </si>
  <si>
    <t>COMMITTEE</t>
  </si>
  <si>
    <t>Revised</t>
  </si>
  <si>
    <t>£m</t>
  </si>
  <si>
    <t>%</t>
  </si>
  <si>
    <t xml:space="preserve">Education - Devolved Formula Capital </t>
  </si>
  <si>
    <t>New Deal for Communities</t>
  </si>
  <si>
    <t xml:space="preserve">Education - Seed Challenge </t>
  </si>
  <si>
    <t>Lottery Grant - Arts &amp; Leisure</t>
  </si>
  <si>
    <t>Monitoring</t>
  </si>
  <si>
    <t>NWRDA</t>
  </si>
  <si>
    <t xml:space="preserve">Education - Asset Mangaement Plan Condition </t>
  </si>
  <si>
    <t>Prop'n</t>
  </si>
  <si>
    <t>Total</t>
  </si>
  <si>
    <t>Education - New Deal for Schools Modernisation</t>
  </si>
  <si>
    <t>Housing - Disabled Facilities Grant</t>
  </si>
  <si>
    <t xml:space="preserve">Revised Funded Schemes </t>
  </si>
  <si>
    <t>Housing HRA Contribution</t>
  </si>
  <si>
    <t>ENVIRONENTAL &amp; CONSUMER SERVICES</t>
  </si>
  <si>
    <t>Education - Standards Fund</t>
  </si>
  <si>
    <t>Housing Land</t>
  </si>
  <si>
    <t>Scheme Details</t>
  </si>
  <si>
    <t>Costs</t>
  </si>
  <si>
    <t>Source of</t>
  </si>
  <si>
    <t>Funding</t>
  </si>
  <si>
    <t>Onwards</t>
  </si>
  <si>
    <t>2003/04</t>
  </si>
  <si>
    <t>Contract</t>
  </si>
  <si>
    <t>Start</t>
  </si>
  <si>
    <t>Finish</t>
  </si>
  <si>
    <t>A</t>
  </si>
  <si>
    <t>M</t>
  </si>
  <si>
    <t>J</t>
  </si>
  <si>
    <t>S</t>
  </si>
  <si>
    <t>O</t>
  </si>
  <si>
    <t>N</t>
  </si>
  <si>
    <t>D</t>
  </si>
  <si>
    <t>F</t>
  </si>
  <si>
    <t>Private Sector</t>
  </si>
  <si>
    <t>Advance Fees</t>
  </si>
  <si>
    <t>Disabled Facilities Grants</t>
  </si>
  <si>
    <t>Houses in Multiple Occupation</t>
  </si>
  <si>
    <t>Citywide</t>
  </si>
  <si>
    <t>Home Improvement Agency</t>
  </si>
  <si>
    <t>Special Needs (Repairs Associated with DFG's)</t>
  </si>
  <si>
    <t>Broughton Inpartnership</t>
  </si>
  <si>
    <t>Broughton Capital Works</t>
  </si>
  <si>
    <t>Broughton Grants (Owner-occ's)</t>
  </si>
  <si>
    <t xml:space="preserve">Broughton Grants (Empty prop's) </t>
  </si>
  <si>
    <t>Broughton (Gt Clowes St Block Treatment Ph 2)</t>
  </si>
  <si>
    <t>Claremont &amp; Weaste</t>
  </si>
  <si>
    <t>Charlestown &amp; Kersal NDC - Grants</t>
  </si>
  <si>
    <t>Charlestown &amp; Kersal NDC - major scheme preparation</t>
  </si>
  <si>
    <t>RBI Individual Grants</t>
  </si>
  <si>
    <t>Total Private Sector</t>
  </si>
  <si>
    <t>Public Sector</t>
  </si>
  <si>
    <t>Support of  SRB 2</t>
  </si>
  <si>
    <t>Support of  SRB 3</t>
  </si>
  <si>
    <t>Retentions</t>
  </si>
  <si>
    <t>Public Sector Residents - Specific Adaptations</t>
  </si>
  <si>
    <t>Fees - Future Programme Preparation</t>
  </si>
  <si>
    <t>Total Public Sector</t>
  </si>
  <si>
    <t>HOUSING TOTAL</t>
  </si>
  <si>
    <t>Devolved Capital Formula</t>
  </si>
  <si>
    <t>Seed Challenge</t>
  </si>
  <si>
    <t>The Albion</t>
  </si>
  <si>
    <t>Schools Access Initiative</t>
  </si>
  <si>
    <t>EDUCATION - TOTAL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</si>
  <si>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</si>
  <si>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</si>
  <si>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</si>
  <si>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</si>
  <si>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</si>
  <si>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</si>
  <si>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</si>
  <si>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</si>
  <si>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</si>
  <si>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Headstones and Roadway Works - Cemeteries</t>
  </si>
  <si>
    <t>CORPORATE SERVICES</t>
  </si>
  <si>
    <t>Capitalisation of Revenue</t>
  </si>
  <si>
    <t>VER / VS</t>
  </si>
  <si>
    <t>Planned Highway Maintenance</t>
  </si>
  <si>
    <t>Planned Building Maintenance</t>
  </si>
  <si>
    <t>Major Building Maintenance</t>
  </si>
  <si>
    <t>Software Development</t>
  </si>
  <si>
    <t>Project E-merge</t>
  </si>
  <si>
    <t>Energy Conservation</t>
  </si>
  <si>
    <t>TOTAL</t>
  </si>
  <si>
    <t>CHIEF EXECUTIVE</t>
  </si>
  <si>
    <t>Site Assembly / Acquisition Temp Treatment Works</t>
  </si>
  <si>
    <t>CCTV in New Deal Area</t>
  </si>
  <si>
    <t>Play Facilities</t>
  </si>
  <si>
    <t>Staff Workspaces</t>
  </si>
  <si>
    <t>2003/04 Monitoring Adj's</t>
  </si>
  <si>
    <t>Estimate at 03/03/03</t>
  </si>
  <si>
    <t>Internal</t>
  </si>
  <si>
    <t>External</t>
  </si>
  <si>
    <t>Resource</t>
  </si>
  <si>
    <t xml:space="preserve">Highways - Inner Relief Route </t>
  </si>
  <si>
    <t xml:space="preserve">Highways - Cadishead Way </t>
  </si>
  <si>
    <t>Education - Primary Schools - Surplus Place Removal</t>
  </si>
  <si>
    <t>Housing - Market Renewal Fund</t>
  </si>
  <si>
    <t>Housing - SRB 5</t>
  </si>
  <si>
    <t xml:space="preserve">Education - Sure Start </t>
  </si>
  <si>
    <t>Social Services - Management Information Grant</t>
  </si>
  <si>
    <t>Development Services - Sure Start</t>
  </si>
  <si>
    <t>Neighbourhood Renewal Fund</t>
  </si>
  <si>
    <t>Estimated usable 2003/04 receipts</t>
  </si>
  <si>
    <t>Housing Major Repairs Allowance</t>
  </si>
  <si>
    <t>Insurance Claim - Ordsall Nursery</t>
  </si>
  <si>
    <t>Development Services - Revenue Contribution</t>
  </si>
  <si>
    <r>
      <t xml:space="preserve">               </t>
    </r>
    <r>
      <rPr>
        <b/>
        <u val="single"/>
        <sz val="10"/>
        <rFont val="Times New Roman"/>
        <family val="1"/>
      </rPr>
      <t>SUMMARY OF 2003/04 ESTIMATED RESOURCES AVAILABLE</t>
    </r>
  </si>
  <si>
    <t xml:space="preserve">                        - Social Services</t>
  </si>
  <si>
    <t>Social Services - Quality Protects</t>
  </si>
  <si>
    <t>Social Services - Revenue Contributions</t>
  </si>
  <si>
    <t>Social Services - Mental Health</t>
  </si>
  <si>
    <t>Land at Swinton Hall Road</t>
  </si>
  <si>
    <t>Housing Land &amp; Property</t>
  </si>
  <si>
    <t>2004/05</t>
  </si>
  <si>
    <t>Development Services</t>
  </si>
  <si>
    <t>Beacon Resource Centre</t>
  </si>
  <si>
    <t>Burglary Reduction</t>
  </si>
  <si>
    <t>Seedley &amp; Langworthy</t>
  </si>
  <si>
    <t>Acquisitions (04/05 Onwards Incl Homeswaps)</t>
  </si>
  <si>
    <t>DS Homeswaps in LN</t>
  </si>
  <si>
    <t xml:space="preserve">DS Phase 3 Homeswaps </t>
  </si>
  <si>
    <t xml:space="preserve">DS Seedley West Homeswaps </t>
  </si>
  <si>
    <t>Homeswaps</t>
  </si>
  <si>
    <t xml:space="preserve">Demolitions </t>
  </si>
  <si>
    <t>Environmental Works</t>
  </si>
  <si>
    <t>Shop Renovations Phase 1</t>
  </si>
  <si>
    <t>Shop Renovations Phase 2</t>
  </si>
  <si>
    <t>Buille Hill Area Group Scheme</t>
  </si>
  <si>
    <t xml:space="preserve">Langworthy North Phase 3 </t>
  </si>
  <si>
    <t>Langworthy North Retention</t>
  </si>
  <si>
    <t>Langworthy North Phase 4</t>
  </si>
  <si>
    <t>Individual Improvement</t>
  </si>
  <si>
    <t>West of Seedley Park Road</t>
  </si>
  <si>
    <t xml:space="preserve">Seedley West Remodelling </t>
  </si>
  <si>
    <t xml:space="preserve">Seedley South Remodelling </t>
  </si>
  <si>
    <t>Marketing / Developing Gap Funding</t>
  </si>
  <si>
    <t>MRA Funded</t>
  </si>
  <si>
    <t>2002/03 Commitments</t>
  </si>
  <si>
    <t xml:space="preserve">Programmed Works </t>
  </si>
  <si>
    <t>Demolitions</t>
  </si>
  <si>
    <t>Environmental Improvements</t>
  </si>
  <si>
    <t>ALMO Funded</t>
  </si>
  <si>
    <t>Decent Homes</t>
  </si>
  <si>
    <t>Commitments</t>
  </si>
  <si>
    <t>New Deal Condition / Modernisation</t>
  </si>
  <si>
    <t>Capitalised Salaries</t>
  </si>
  <si>
    <t>Proposals</t>
  </si>
  <si>
    <t>Wentworth High School</t>
  </si>
  <si>
    <t>ACG Minor Works</t>
  </si>
  <si>
    <t>Nursery's In Disadvantaged Ares</t>
  </si>
  <si>
    <t>Review Surplus Places (Expansion Popular Schools)</t>
  </si>
  <si>
    <t xml:space="preserve">Public Transport Schemes </t>
  </si>
  <si>
    <t>Schemes to Assist Cycling</t>
  </si>
  <si>
    <t>Manchester / Salford Inner relief Road</t>
  </si>
  <si>
    <t>Modernising ICT Infrastructure</t>
  </si>
  <si>
    <t>Buille Hill Park Restoration</t>
  </si>
  <si>
    <t>ENVIRONMENTAL SERVICES TOTAL</t>
  </si>
  <si>
    <t>Gateway</t>
  </si>
  <si>
    <t>Highway and Community Safety</t>
  </si>
  <si>
    <t xml:space="preserve">Environmental / Shop Front Improvements </t>
  </si>
  <si>
    <t>Community Mini-Bus</t>
  </si>
  <si>
    <t>Minor Works Fund</t>
  </si>
  <si>
    <t>Reclamation of Derelict Land</t>
  </si>
  <si>
    <t>Expanding Boundaries</t>
  </si>
  <si>
    <t>CHIEF EXECUTIVE TOTAL</t>
  </si>
  <si>
    <t>Committed</t>
  </si>
  <si>
    <t>Leisure Trust / PPP</t>
  </si>
  <si>
    <t>Library Service - Computerisation</t>
  </si>
  <si>
    <t>SPACE for Sports and Arts</t>
  </si>
  <si>
    <t>Fit City Signage</t>
  </si>
  <si>
    <t>Ordsall Neighbourhood Office Phase 2</t>
  </si>
  <si>
    <t>LIVIA Programme Year 3  - Match Funding</t>
  </si>
  <si>
    <t>Risk Management</t>
  </si>
  <si>
    <t>Children's Homes - Safety Issues</t>
  </si>
  <si>
    <t>Replacement Lift at The Limes</t>
  </si>
  <si>
    <t>Brierley House DC -  Re-model Toilet/Bathroom Area</t>
  </si>
  <si>
    <t>Alexandra House DC -  Re-model Toilet/Bathroom Area</t>
  </si>
  <si>
    <t>Craig Hall DC Re-roofing</t>
  </si>
  <si>
    <t>Waterside Resource Centre Partial Re-roofing</t>
  </si>
  <si>
    <t>Cleveland House - Dry Lining of Basement</t>
  </si>
  <si>
    <t>West Dene Partial Re-roofing</t>
  </si>
  <si>
    <t>Boothstown / Worsley Community Centres Refurbishment</t>
  </si>
  <si>
    <t>I.T. for Looked After Children</t>
  </si>
  <si>
    <t>Mental Health SCA 2002 / 2005</t>
  </si>
  <si>
    <t>Cadishead Way Stage 1</t>
  </si>
  <si>
    <t>Local Authority SHG-Pendleway</t>
  </si>
  <si>
    <t>Local Authority SHG-King Edward St</t>
  </si>
  <si>
    <t>Local Authority SHG-2003/4new start</t>
  </si>
  <si>
    <t>Broughton Grants(from 2/3)</t>
  </si>
  <si>
    <t>Charlestown &amp; Kersal NDC - Norfolk St</t>
  </si>
  <si>
    <t>Marlborough</t>
  </si>
  <si>
    <t>Moorfield</t>
  </si>
  <si>
    <t>St Peter's</t>
  </si>
  <si>
    <t>Dukesgate</t>
  </si>
  <si>
    <t>Est to Date</t>
  </si>
  <si>
    <t>Actual to Date</t>
  </si>
  <si>
    <t>Diff.</t>
  </si>
  <si>
    <t>2003/04 Estimate</t>
  </si>
  <si>
    <r>
      <t xml:space="preserve">                                                                </t>
    </r>
    <r>
      <rPr>
        <b/>
        <u val="single"/>
        <sz val="10"/>
        <rFont val="Times New Roman"/>
        <family val="1"/>
      </rPr>
      <t>SUMMARY OF 2003/04 APPROVED PROGRAMME</t>
    </r>
  </si>
  <si>
    <t>Slippage from 2002/03</t>
  </si>
  <si>
    <t xml:space="preserve">PFI Consultancy </t>
  </si>
  <si>
    <t>Springwood</t>
  </si>
  <si>
    <t>The  Withies</t>
  </si>
  <si>
    <t>Brynheys</t>
  </si>
  <si>
    <t>Peoples Network</t>
  </si>
  <si>
    <t>Eccles Town Centre</t>
  </si>
  <si>
    <t>Chapel St</t>
  </si>
  <si>
    <t>Countryside Programme</t>
  </si>
  <si>
    <t>Barton SES</t>
  </si>
  <si>
    <t>Eccles Town Hall Auditorium</t>
  </si>
  <si>
    <t>NWDA Headroom schemes</t>
  </si>
  <si>
    <t>SRB 2</t>
  </si>
  <si>
    <t>DEFRA Waste Minimisation</t>
  </si>
  <si>
    <t>Outdoor Services - Plant Acquisition</t>
  </si>
  <si>
    <t>Fuel Island</t>
  </si>
  <si>
    <t xml:space="preserve">Home Office CCTV </t>
  </si>
  <si>
    <t>Business Security Grants</t>
  </si>
  <si>
    <t>Highways Depot</t>
  </si>
  <si>
    <t>Leisure Mgt Info System</t>
  </si>
  <si>
    <t xml:space="preserve">Education - New Deal for Schools 4 </t>
  </si>
  <si>
    <t>DSO Surplus</t>
  </si>
  <si>
    <t>DEFRA - Waste Minmisation</t>
  </si>
  <si>
    <t>Home Office - CCTV</t>
  </si>
  <si>
    <t>Land at Ravenscraig Road</t>
  </si>
  <si>
    <t>G-Mex Commuted Sum</t>
  </si>
  <si>
    <t>Sale Of Shares Ringway Development (Balance)</t>
  </si>
  <si>
    <r>
      <t xml:space="preserve">                                                         </t>
    </r>
    <r>
      <rPr>
        <b/>
        <u val="single"/>
        <sz val="10"/>
        <rFont val="Times New Roman"/>
        <family val="1"/>
      </rPr>
      <t>2003/04 ESTIMATED CAPITAL RECEIPTS</t>
    </r>
  </si>
  <si>
    <t>Usable Receipts Brought Forward</t>
  </si>
  <si>
    <t>Slackbrook - Security Measures / Improvements</t>
  </si>
  <si>
    <t>GMWDA</t>
  </si>
  <si>
    <t>Biffa</t>
  </si>
  <si>
    <t>Environmental Services - Revenue Contribution</t>
  </si>
  <si>
    <t>Anti Skid Surfacing Programme</t>
  </si>
  <si>
    <t>D00101</t>
  </si>
  <si>
    <t>D00103</t>
  </si>
  <si>
    <t>D00104</t>
  </si>
  <si>
    <t>D00111</t>
  </si>
  <si>
    <t>D00121</t>
  </si>
  <si>
    <t>D00132</t>
  </si>
  <si>
    <t>D00133</t>
  </si>
  <si>
    <t>D00135</t>
  </si>
  <si>
    <t>D00139</t>
  </si>
  <si>
    <t>D00143</t>
  </si>
  <si>
    <t>D00144</t>
  </si>
  <si>
    <t>D00145</t>
  </si>
  <si>
    <t>D00146</t>
  </si>
  <si>
    <t>D00149</t>
  </si>
  <si>
    <t>D00151</t>
  </si>
  <si>
    <t>D00170</t>
  </si>
  <si>
    <t>D00171</t>
  </si>
  <si>
    <t>D00172</t>
  </si>
  <si>
    <t>Accident Investigation</t>
  </si>
  <si>
    <t>White Lining</t>
  </si>
  <si>
    <t>20mph Zone-Westwood Park, Winton</t>
  </si>
  <si>
    <t>A6 High St Pedestrian Facilities</t>
  </si>
  <si>
    <t>Broughton Park Area scheme</t>
  </si>
  <si>
    <t>East Lancs Moorside Rd (Speed Cameras)</t>
  </si>
  <si>
    <t>Pendleton Round-a-bout</t>
  </si>
  <si>
    <t>Hilton Lane Traffic Calming</t>
  </si>
  <si>
    <t>Cadishead NW area safety scheme</t>
  </si>
  <si>
    <t>A576 Cromwell Rd/Littleton Rd</t>
  </si>
  <si>
    <t>A5185 Lancaster Rd/Swinton Park Rd</t>
  </si>
  <si>
    <t>A576 Eccles Old Rd/A5185 Lancaster Rd</t>
  </si>
  <si>
    <t>Littleton Rd pedestrian safety</t>
  </si>
  <si>
    <t>A57 Peel Green Roundabout</t>
  </si>
  <si>
    <t>Cantebury Gardens - Traffic Calming</t>
  </si>
  <si>
    <t>Camera Site Speed Surveys</t>
  </si>
  <si>
    <t>Kersal Area Traffic Calming</t>
  </si>
  <si>
    <t>D00500</t>
  </si>
  <si>
    <t>D00501</t>
  </si>
  <si>
    <t>D00503</t>
  </si>
  <si>
    <t>D00504</t>
  </si>
  <si>
    <t>D00512</t>
  </si>
  <si>
    <t>D00514</t>
  </si>
  <si>
    <t>D00517</t>
  </si>
  <si>
    <t>D00518</t>
  </si>
  <si>
    <t>D00520</t>
  </si>
  <si>
    <t>D00524</t>
  </si>
  <si>
    <t>D00527</t>
  </si>
  <si>
    <t>D00528</t>
  </si>
  <si>
    <t>D00602</t>
  </si>
  <si>
    <t>D00605</t>
  </si>
  <si>
    <t>D00608</t>
  </si>
  <si>
    <t>D00610</t>
  </si>
  <si>
    <t>D00611</t>
  </si>
  <si>
    <t>D00612</t>
  </si>
  <si>
    <t>D00613</t>
  </si>
  <si>
    <t>D00614</t>
  </si>
  <si>
    <t>D00616</t>
  </si>
  <si>
    <t>D00703</t>
  </si>
  <si>
    <t>D00707</t>
  </si>
  <si>
    <t>D00802</t>
  </si>
  <si>
    <t>D00805</t>
  </si>
  <si>
    <t>D00901</t>
  </si>
  <si>
    <t>D00902</t>
  </si>
  <si>
    <t>D00905</t>
  </si>
  <si>
    <t>D00909</t>
  </si>
  <si>
    <t>D00912</t>
  </si>
  <si>
    <t>D00918</t>
  </si>
  <si>
    <t>D00923</t>
  </si>
  <si>
    <t>Bridge Inspections and Assessments</t>
  </si>
  <si>
    <t>Bridges General</t>
  </si>
  <si>
    <t>Subways</t>
  </si>
  <si>
    <t>Agecroft Road Railway Bridge</t>
  </si>
  <si>
    <t>Eccles Old Rd Underpass</t>
  </si>
  <si>
    <t>East Lancs Rd/ Eccles Rd Footbridge</t>
  </si>
  <si>
    <t>Palatine Bridge</t>
  </si>
  <si>
    <t>Waterloo Bridge</t>
  </si>
  <si>
    <t>Carlton Footbridge</t>
  </si>
  <si>
    <t>Pendleton Roundabout Parapets</t>
  </si>
  <si>
    <t>Culvert Safety Improvement Programme</t>
  </si>
  <si>
    <t>Wallness Bridge</t>
  </si>
  <si>
    <t>A6 Chapel Street (Adelpi St-Trinity Way)</t>
  </si>
  <si>
    <t>Deflectograph Surveys</t>
  </si>
  <si>
    <t>Principal Rd Structural Maintenance</t>
  </si>
  <si>
    <t>A575 Walkden Rd (M/cr Rd-Park Rd)</t>
  </si>
  <si>
    <t>A576 Cromwell Rd (Lissadel St-Lwr Broug)</t>
  </si>
  <si>
    <t>A6 Manchester Rd (Bolton Rd -Smithfold)</t>
  </si>
  <si>
    <t>Structural Maintenance of Minor Rds</t>
  </si>
  <si>
    <t>A56 Bury New Rd Boundary to Moor Lane</t>
  </si>
  <si>
    <t>A5082 Armitage Av (M/cr Rd-Boundary)</t>
  </si>
  <si>
    <t>A56 Quality Bus Corridor</t>
  </si>
  <si>
    <t>Blackfriars Street Improvements</t>
  </si>
  <si>
    <t>A666 Cycling Facilities</t>
  </si>
  <si>
    <t>Cycle Parking Facilities</t>
  </si>
  <si>
    <t>GM Local Transport Plan</t>
  </si>
  <si>
    <t>Salford's Green transport Plan</t>
  </si>
  <si>
    <t>Demand Management Measures</t>
  </si>
  <si>
    <t>AGMA Countywide Advertising</t>
  </si>
  <si>
    <t>Disabled Facilities at Ped. Crossings</t>
  </si>
  <si>
    <t>Chapel St Pedestrian Route Improvements</t>
  </si>
  <si>
    <t>Little Moss Lane</t>
  </si>
  <si>
    <t>Railway Incursion Works</t>
  </si>
  <si>
    <t>D00525</t>
  </si>
  <si>
    <t>Trafford Rd</t>
  </si>
  <si>
    <t>D00002</t>
  </si>
  <si>
    <t>Over-programme</t>
  </si>
  <si>
    <t>D00005</t>
  </si>
  <si>
    <t>D00003</t>
  </si>
  <si>
    <t>D00004</t>
  </si>
  <si>
    <t>Ordsall Neighbourhood Office Phase 1</t>
  </si>
  <si>
    <t>Housing - Lottery Grant</t>
  </si>
  <si>
    <t>Community Safety</t>
  </si>
  <si>
    <t>Education - Revenue Contribution</t>
  </si>
  <si>
    <t>Health Authority Contribution</t>
  </si>
  <si>
    <t>English Heritage</t>
  </si>
  <si>
    <t>Education - School Contributions</t>
  </si>
  <si>
    <t>Insurance Claims - Education</t>
  </si>
  <si>
    <t>SPACE</t>
  </si>
  <si>
    <t>SRB 2 - Non Housing</t>
  </si>
  <si>
    <t>Private Sector Contributions</t>
  </si>
  <si>
    <t>Other Local Authority Contributions</t>
  </si>
  <si>
    <t>SRB 5 - Non Housing</t>
  </si>
  <si>
    <t>Upper Camp St</t>
  </si>
  <si>
    <t>Beechfield House</t>
  </si>
  <si>
    <t>Peel Green wc's</t>
  </si>
  <si>
    <t>Class Size Reduction - St Andrews</t>
  </si>
  <si>
    <t xml:space="preserve">Broadwalk PRU </t>
  </si>
  <si>
    <t>VA Minor Works</t>
  </si>
  <si>
    <t>Demolition of Homes</t>
  </si>
  <si>
    <t>Re-modelling of Crompton House Reception</t>
  </si>
  <si>
    <t xml:space="preserve">Improving Information Mgt 2002/03 </t>
  </si>
  <si>
    <t>Refurbishment of Unwin Court</t>
  </si>
  <si>
    <t>Cleavley Playing Fields</t>
  </si>
  <si>
    <t>Less - Costs to be set against capital receipts</t>
  </si>
  <si>
    <t>NET ESTIMATED RECEIPTS</t>
  </si>
  <si>
    <t>Pathfinder Scheme - Standards Fund</t>
  </si>
  <si>
    <t>Adult &amp; Community Education</t>
  </si>
  <si>
    <t>Digital World</t>
  </si>
  <si>
    <t xml:space="preserve">Education - Learning Skills Council </t>
  </si>
  <si>
    <t>Highfield Road</t>
  </si>
  <si>
    <t>Capital Modernisation Fund</t>
  </si>
  <si>
    <t>Specified capital grant</t>
  </si>
  <si>
    <t>Resourced Schemes</t>
  </si>
  <si>
    <t>Lord Street Acid Tar</t>
  </si>
  <si>
    <t>Air Pollution Monitoring</t>
  </si>
  <si>
    <t>Environmental services</t>
  </si>
  <si>
    <t>Taylorson Street Industrial Estate</t>
  </si>
  <si>
    <t>Trafford Road, Eccles, Speed Management</t>
  </si>
  <si>
    <t>d00101</t>
  </si>
  <si>
    <t>d00103</t>
  </si>
  <si>
    <t>d00104</t>
  </si>
  <si>
    <t>d00111</t>
  </si>
  <si>
    <t>d00121</t>
  </si>
  <si>
    <t>d00132</t>
  </si>
  <si>
    <t>d00133</t>
  </si>
  <si>
    <t>d00135</t>
  </si>
  <si>
    <t>d00139</t>
  </si>
  <si>
    <t>d00143</t>
  </si>
  <si>
    <t>d00145</t>
  </si>
  <si>
    <t>d00144</t>
  </si>
  <si>
    <t>d00146</t>
  </si>
  <si>
    <t>d00149</t>
  </si>
  <si>
    <t>d00151</t>
  </si>
  <si>
    <t>d00161</t>
  </si>
  <si>
    <t>d00170</t>
  </si>
  <si>
    <t>d00171</t>
  </si>
  <si>
    <t>d00172</t>
  </si>
  <si>
    <t>D009</t>
  </si>
  <si>
    <t>D00523</t>
  </si>
  <si>
    <t>D00529</t>
  </si>
  <si>
    <t>West Egerton Street Bridge</t>
  </si>
  <si>
    <t>Station Rd Rway Bridge - F'way Protection</t>
  </si>
  <si>
    <t>D00701</t>
  </si>
  <si>
    <t>D00700</t>
  </si>
  <si>
    <t>A 576 Eccles Old Road Bus Priority and cycling facilities</t>
  </si>
  <si>
    <t>A 57 Liverpool Road Bus Priority and cycling facilities</t>
  </si>
  <si>
    <t>M60/ PRN Signing</t>
  </si>
  <si>
    <t>D00903</t>
  </si>
  <si>
    <t>Miscellaneous SRTS Works</t>
  </si>
  <si>
    <t>GMTU Non-Core Modelling Work</t>
  </si>
  <si>
    <t>Signing of Pedestrian Routes</t>
  </si>
  <si>
    <t>Dawson Street</t>
  </si>
  <si>
    <t>White Meadows</t>
  </si>
  <si>
    <t>Alterations to Properties</t>
  </si>
  <si>
    <t>D07008</t>
  </si>
  <si>
    <t>D06109</t>
  </si>
  <si>
    <t>LEA Liability VA Schools</t>
  </si>
  <si>
    <t>PFI 2 Fees</t>
  </si>
  <si>
    <t xml:space="preserve">Primary School Review </t>
  </si>
  <si>
    <t>Radclyffe/St Clements</t>
  </si>
  <si>
    <t>Chaseley Fields Relocation</t>
  </si>
  <si>
    <t>Office refurbishment/relocations (unallocated)</t>
  </si>
  <si>
    <t>c00059</t>
  </si>
  <si>
    <t>boarding up</t>
  </si>
  <si>
    <t>Pendleton</t>
  </si>
  <si>
    <t>Enterprise Park</t>
  </si>
  <si>
    <t>D07010</t>
  </si>
  <si>
    <t>The Parade Relocation</t>
  </si>
  <si>
    <t>Ordsall Neighbourhood Office Relocation</t>
  </si>
  <si>
    <t>Borrowed BCA from GMWDA</t>
  </si>
  <si>
    <t>Funded Schemes 07/01/04</t>
  </si>
  <si>
    <t>at 07/01/04</t>
  </si>
  <si>
    <t>ACG</t>
  </si>
  <si>
    <t>Cadishead Way Stage 2</t>
  </si>
  <si>
    <t>Moorside Rd/Wardley Ind Estate Area Sch</t>
  </si>
  <si>
    <t>Railtrack Assessments</t>
  </si>
  <si>
    <t>D00510</t>
  </si>
  <si>
    <t>D00600</t>
  </si>
  <si>
    <t>D00603</t>
  </si>
  <si>
    <t>A666 Bolton Road (Hospital Road)</t>
  </si>
  <si>
    <t>A576 Great Cheatham Street</t>
  </si>
  <si>
    <t>Barton Cycling Facilities</t>
  </si>
  <si>
    <t>D00803</t>
  </si>
  <si>
    <t>Ship Canal Corridor Study</t>
  </si>
  <si>
    <t>D00925</t>
  </si>
  <si>
    <t>New Deal for Schools 4</t>
  </si>
  <si>
    <t>NWDA</t>
  </si>
  <si>
    <t>Ordsall Recreation Centre</t>
  </si>
  <si>
    <t>Swinton Cemetry Lodge New Lease</t>
  </si>
  <si>
    <t>St James House relocation</t>
  </si>
  <si>
    <t>D07011</t>
  </si>
  <si>
    <t>Overprogramming</t>
  </si>
  <si>
    <t xml:space="preserve"> </t>
  </si>
  <si>
    <t>Underprogramming</t>
  </si>
  <si>
    <t>Public</t>
  </si>
  <si>
    <t>Private</t>
  </si>
  <si>
    <t>Capital Receipts</t>
  </si>
  <si>
    <t>Grants</t>
  </si>
  <si>
    <t>Revenue</t>
  </si>
  <si>
    <t>Credit Approvals</t>
  </si>
  <si>
    <t>PE &amp; sports NOF</t>
  </si>
  <si>
    <t>Resources</t>
  </si>
  <si>
    <t>SCA</t>
  </si>
  <si>
    <t>RCCO</t>
  </si>
  <si>
    <t>CAPITAL RECEIPTS</t>
  </si>
  <si>
    <t>MRA</t>
  </si>
  <si>
    <t>HRA</t>
  </si>
  <si>
    <t>GRANT</t>
  </si>
  <si>
    <t>SCHOOLS</t>
  </si>
  <si>
    <t>DSO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</si>
  <si>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</si>
  <si>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</si>
  <si>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</si>
  <si>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</si>
  <si>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</si>
  <si>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</si>
  <si>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</si>
  <si>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</si>
  <si>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</si>
  <si>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0.700 cmf, 0.071 bcu</t>
  </si>
  <si>
    <t>0.006 community safety, other 0.015 private sector contribution</t>
  </si>
  <si>
    <t>NDS</t>
  </si>
  <si>
    <t>DFC</t>
  </si>
  <si>
    <t>SEED</t>
  </si>
  <si>
    <t>STANDARDS FUND</t>
  </si>
  <si>
    <t>0.137 LEARNING AND SKILLS COUNCIL</t>
  </si>
  <si>
    <t>0.040 Health Authority Contribution</t>
  </si>
  <si>
    <t>0.016 DEFRA waste minimisation</t>
  </si>
  <si>
    <t>0.012 other, local authority contributions from previous year</t>
  </si>
  <si>
    <t>RHS show</t>
  </si>
  <si>
    <t>0.020 Health Authority Contribution</t>
  </si>
  <si>
    <t>Management Information Grant</t>
  </si>
  <si>
    <t>Quality Protects Grant</t>
  </si>
  <si>
    <t>NOF and other grants?</t>
  </si>
  <si>
    <t>from day to day repairs</t>
  </si>
  <si>
    <t>Riverside Bowling and Leisure</t>
  </si>
  <si>
    <t>Start 2 Healthy Options</t>
  </si>
  <si>
    <t>Home Office</t>
  </si>
  <si>
    <t>0.019 other public money</t>
  </si>
  <si>
    <t>.011 neighbourhood support fund</t>
  </si>
  <si>
    <t>don't include private sector contribution or GMP</t>
  </si>
  <si>
    <t>0.008 GMWDA, 0.003 Biffa</t>
  </si>
  <si>
    <t>0.020 education RCCO, 0.047 office relocation</t>
  </si>
  <si>
    <t>Surestart</t>
  </si>
  <si>
    <t>03/04</t>
  </si>
  <si>
    <t>previous years</t>
  </si>
  <si>
    <t>schools contribution</t>
  </si>
  <si>
    <t>other LA</t>
  </si>
  <si>
    <t>insurance Clifton/Broadwalk</t>
  </si>
  <si>
    <t>DEFRA</t>
  </si>
  <si>
    <t>Libraries NOF</t>
  </si>
  <si>
    <t>Chapel Wharf</t>
  </si>
  <si>
    <t>Bellway</t>
  </si>
  <si>
    <t>Pendleton College</t>
  </si>
  <si>
    <t>`</t>
  </si>
  <si>
    <t>sure start</t>
  </si>
  <si>
    <t>srb 2</t>
  </si>
  <si>
    <t>erdf</t>
  </si>
  <si>
    <t>nwda</t>
  </si>
  <si>
    <t>hmrf</t>
  </si>
  <si>
    <t>home office cctv</t>
  </si>
  <si>
    <t>BCU</t>
  </si>
  <si>
    <t>Arts and Leisure - Revenue Contribution</t>
  </si>
  <si>
    <t>Sport Alliance Youth in Ordsall</t>
  </si>
  <si>
    <t>0.020 Sport Alliance Youth in Ordsall ad revenue maintenance budget, 0.037 education RCCO</t>
  </si>
  <si>
    <t>Neighbourhood Support Fund</t>
  </si>
  <si>
    <t>0.025 Learning difficulties pooled budget (balance sheet code)</t>
  </si>
  <si>
    <t>LD pooled budget</t>
  </si>
  <si>
    <t>resources less programme</t>
  </si>
  <si>
    <t>timing resources</t>
  </si>
  <si>
    <t>receipts for 03/04</t>
  </si>
  <si>
    <t>resources</t>
  </si>
  <si>
    <t>programme</t>
  </si>
  <si>
    <t>2005/6</t>
  </si>
  <si>
    <t>Toilet Refurbishment Lewis Street School</t>
  </si>
  <si>
    <t>Primay Route Re-signing scheme</t>
  </si>
  <si>
    <t>A56  Bury New Road Quality Bus Corridor</t>
  </si>
  <si>
    <t>NDS suitability fund/staff workplace fund</t>
  </si>
  <si>
    <t>A575 Walkden Road Resurfacing Scheme</t>
  </si>
  <si>
    <t>Lead Member Corporate Services - 2003/04 Tender Approvals to 10th February 2004</t>
  </si>
  <si>
    <t>Disabled Facilities at Pelican Crossings</t>
  </si>
  <si>
    <t>Adjustments for Credit Approvals available</t>
  </si>
  <si>
    <t>total includes £2.902m resources from previous year</t>
  </si>
  <si>
    <t>Rail incursion works</t>
  </si>
  <si>
    <t>Beesley Green Community Centre</t>
  </si>
  <si>
    <t>NOF monies</t>
  </si>
  <si>
    <t>Disabled amenities at The Friars CP School</t>
  </si>
  <si>
    <t>TOTAL - RESOURCES FOR 04/05  PROGRAMME</t>
  </si>
  <si>
    <t>School Access Initiative</t>
  </si>
  <si>
    <t>Internal Remodelling at Beech Street Primary School</t>
  </si>
  <si>
    <t>Schools DFC, DFES and SCAs</t>
  </si>
  <si>
    <t>Blackfriars Road - Traffic Signal Replacement</t>
  </si>
  <si>
    <t>overprogramming</t>
  </si>
  <si>
    <t>1.298m from 02/03 and 5.193 02/03 in year slippage, 1.145 slipped to next year 04/05</t>
  </si>
  <si>
    <t>D07008 c00060</t>
  </si>
  <si>
    <t>New Deal for Schools 02/03</t>
  </si>
  <si>
    <t>St Pauls Peel expansion of playgroup places</t>
  </si>
  <si>
    <t>public</t>
  </si>
  <si>
    <t>private</t>
  </si>
  <si>
    <t>education</t>
  </si>
  <si>
    <t>highways</t>
  </si>
  <si>
    <t>social services</t>
  </si>
  <si>
    <t>arts</t>
  </si>
  <si>
    <t>dev servs</t>
  </si>
  <si>
    <t>corp</t>
  </si>
  <si>
    <t>env</t>
  </si>
  <si>
    <t>chief exec</t>
  </si>
  <si>
    <t>0.060 NOF</t>
  </si>
  <si>
    <t>Winton Community Library</t>
  </si>
  <si>
    <t>0.030 from planned maintenance budget</t>
  </si>
  <si>
    <t>D03502</t>
  </si>
  <si>
    <t>Land at Buille Street</t>
  </si>
  <si>
    <t>Land at British legion</t>
  </si>
  <si>
    <t>Land at Eccles New Road</t>
  </si>
  <si>
    <t>Swinton Sauna</t>
  </si>
  <si>
    <t>Sale of 24, 26, 88 and 30 Nadine Street</t>
  </si>
  <si>
    <t>de minimis 6</t>
  </si>
  <si>
    <t>CAPITAL RECEIPTS 2003/4</t>
  </si>
  <si>
    <t>TIMESCALES-RECEIPTS IN EXCESS OF £100,000</t>
  </si>
  <si>
    <t>Disposal</t>
  </si>
  <si>
    <t>Estimated Receipt</t>
  </si>
  <si>
    <t>Preliminaries/Marketing</t>
  </si>
  <si>
    <t>Legal/Planning</t>
  </si>
  <si>
    <t>Completion</t>
  </si>
  <si>
    <t>Alpine Soft Drinks</t>
  </si>
  <si>
    <t>April/May 2003</t>
  </si>
  <si>
    <t>Completed 6th June 2003</t>
  </si>
  <si>
    <t>Completed 18th July 2003</t>
  </si>
  <si>
    <t>628 Eccles New Road (Land adj)</t>
  </si>
  <si>
    <t>April /July  2003</t>
  </si>
  <si>
    <t>Completed August 2003</t>
  </si>
  <si>
    <t>Land at Upper Camp Street</t>
  </si>
  <si>
    <t>April /May 2003</t>
  </si>
  <si>
    <t>Completed 1st July 2003</t>
  </si>
  <si>
    <t>Tayloson Street Industrial Estate</t>
  </si>
  <si>
    <t>Completed 13/11/03</t>
  </si>
  <si>
    <t>Swinton Sauna Site</t>
  </si>
  <si>
    <t>May/Sept 2003</t>
  </si>
  <si>
    <t>Completed 27/01/04</t>
  </si>
  <si>
    <t>Chaseley Fields</t>
  </si>
  <si>
    <t>July/Dec  2003</t>
  </si>
  <si>
    <t>School Street</t>
  </si>
  <si>
    <t>Fact Focus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</si>
</sst>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164" fontId="6" fillId="2" borderId="1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 quotePrefix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4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6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7" fillId="2" borderId="4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6" fillId="2" borderId="8" xfId="0" applyNumberFormat="1" applyFont="1" applyFill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 quotePrefix="1">
      <alignment horizontal="center"/>
    </xf>
    <xf numFmtId="165" fontId="7" fillId="2" borderId="0" xfId="0" applyNumberFormat="1" applyFont="1" applyFill="1" applyAlignment="1">
      <alignment/>
    </xf>
    <xf numFmtId="164" fontId="7" fillId="2" borderId="8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Continuous"/>
    </xf>
    <xf numFmtId="1" fontId="6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7" fillId="2" borderId="8" xfId="0" applyNumberFormat="1" applyFont="1" applyFill="1" applyBorder="1" applyAlignment="1">
      <alignment horizontal="right"/>
    </xf>
    <xf numFmtId="1" fontId="7" fillId="2" borderId="8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165" fontId="0" fillId="2" borderId="17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5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/>
    </xf>
    <xf numFmtId="165" fontId="7" fillId="2" borderId="16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5" fillId="2" borderId="0" xfId="0" applyNumberFormat="1" applyFont="1" applyFill="1" applyAlignment="1">
      <alignment horizontal="centerContinuous"/>
    </xf>
    <xf numFmtId="49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7" fillId="2" borderId="11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1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5" fontId="0" fillId="2" borderId="32" xfId="0" applyNumberForma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/>
    </xf>
    <xf numFmtId="0" fontId="0" fillId="2" borderId="39" xfId="0" applyFill="1" applyBorder="1" applyAlignment="1">
      <alignment/>
    </xf>
    <xf numFmtId="165" fontId="0" fillId="2" borderId="40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/>
    </xf>
    <xf numFmtId="165" fontId="0" fillId="2" borderId="41" xfId="0" applyNumberFormat="1" applyFont="1" applyFill="1" applyBorder="1" applyAlignment="1">
      <alignment/>
    </xf>
    <xf numFmtId="165" fontId="0" fillId="2" borderId="41" xfId="0" applyNumberFormat="1" applyFill="1" applyBorder="1" applyAlignment="1">
      <alignment/>
    </xf>
    <xf numFmtId="165" fontId="0" fillId="2" borderId="38" xfId="0" applyNumberForma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/>
    </xf>
    <xf numFmtId="165" fontId="1" fillId="2" borderId="41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0" fontId="0" fillId="2" borderId="44" xfId="0" applyFill="1" applyBorder="1" applyAlignment="1">
      <alignment/>
    </xf>
    <xf numFmtId="165" fontId="0" fillId="2" borderId="45" xfId="0" applyNumberFormat="1" applyFont="1" applyFill="1" applyBorder="1" applyAlignment="1">
      <alignment/>
    </xf>
    <xf numFmtId="165" fontId="0" fillId="2" borderId="44" xfId="0" applyNumberFormat="1" applyFont="1" applyFill="1" applyBorder="1" applyAlignment="1">
      <alignment/>
    </xf>
    <xf numFmtId="165" fontId="0" fillId="2" borderId="46" xfId="0" applyNumberFormat="1" applyFont="1" applyFill="1" applyBorder="1" applyAlignment="1">
      <alignment/>
    </xf>
    <xf numFmtId="165" fontId="1" fillId="2" borderId="46" xfId="0" applyNumberFormat="1" applyFont="1" applyFill="1" applyBorder="1" applyAlignment="1">
      <alignment/>
    </xf>
    <xf numFmtId="165" fontId="0" fillId="2" borderId="46" xfId="0" applyNumberFormat="1" applyFill="1" applyBorder="1" applyAlignment="1">
      <alignment/>
    </xf>
    <xf numFmtId="165" fontId="0" fillId="2" borderId="43" xfId="0" applyNumberFormat="1" applyFill="1" applyBorder="1" applyAlignment="1">
      <alignment/>
    </xf>
    <xf numFmtId="165" fontId="0" fillId="2" borderId="31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2" borderId="34" xfId="0" applyNumberFormat="1" applyFont="1" applyFill="1" applyBorder="1" applyAlignment="1">
      <alignment/>
    </xf>
    <xf numFmtId="165" fontId="0" fillId="2" borderId="33" xfId="0" applyNumberFormat="1" applyFont="1" applyFill="1" applyBorder="1" applyAlignment="1">
      <alignment/>
    </xf>
    <xf numFmtId="165" fontId="0" fillId="2" borderId="35" xfId="0" applyNumberFormat="1" applyFont="1" applyFill="1" applyBorder="1" applyAlignment="1">
      <alignment/>
    </xf>
    <xf numFmtId="165" fontId="0" fillId="2" borderId="35" xfId="0" applyNumberFormat="1" applyFill="1" applyBorder="1" applyAlignment="1">
      <alignment/>
    </xf>
    <xf numFmtId="165" fontId="12" fillId="2" borderId="21" xfId="0" applyNumberFormat="1" applyFont="1" applyFill="1" applyBorder="1" applyAlignment="1">
      <alignment/>
    </xf>
    <xf numFmtId="165" fontId="13" fillId="2" borderId="37" xfId="0" applyNumberFormat="1" applyFont="1" applyFill="1" applyBorder="1" applyAlignment="1">
      <alignment/>
    </xf>
    <xf numFmtId="165" fontId="13" fillId="2" borderId="38" xfId="0" applyNumberFormat="1" applyFont="1" applyFill="1" applyBorder="1" applyAlignment="1">
      <alignment/>
    </xf>
    <xf numFmtId="165" fontId="13" fillId="2" borderId="40" xfId="0" applyNumberFormat="1" applyFont="1" applyFill="1" applyBorder="1" applyAlignment="1">
      <alignment/>
    </xf>
    <xf numFmtId="165" fontId="13" fillId="2" borderId="39" xfId="0" applyNumberFormat="1" applyFont="1" applyFill="1" applyBorder="1" applyAlignment="1">
      <alignment/>
    </xf>
    <xf numFmtId="165" fontId="13" fillId="2" borderId="41" xfId="0" applyNumberFormat="1" applyFont="1" applyFill="1" applyBorder="1" applyAlignment="1">
      <alignment/>
    </xf>
    <xf numFmtId="165" fontId="14" fillId="2" borderId="41" xfId="0" applyNumberFormat="1" applyFont="1" applyFill="1" applyBorder="1" applyAlignment="1">
      <alignment/>
    </xf>
    <xf numFmtId="165" fontId="13" fillId="2" borderId="21" xfId="0" applyNumberFormat="1" applyFont="1" applyFill="1" applyBorder="1" applyAlignment="1">
      <alignment/>
    </xf>
    <xf numFmtId="0" fontId="13" fillId="2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165" fontId="14" fillId="2" borderId="46" xfId="0" applyNumberFormat="1" applyFont="1" applyFill="1" applyBorder="1" applyAlignment="1">
      <alignment/>
    </xf>
    <xf numFmtId="165" fontId="13" fillId="2" borderId="31" xfId="0" applyNumberFormat="1" applyFont="1" applyFill="1" applyBorder="1" applyAlignment="1">
      <alignment/>
    </xf>
    <xf numFmtId="165" fontId="14" fillId="2" borderId="32" xfId="0" applyNumberFormat="1" applyFont="1" applyFill="1" applyBorder="1" applyAlignment="1">
      <alignment/>
    </xf>
    <xf numFmtId="165" fontId="13" fillId="2" borderId="32" xfId="0" applyNumberFormat="1" applyFont="1" applyFill="1" applyBorder="1" applyAlignment="1">
      <alignment/>
    </xf>
    <xf numFmtId="165" fontId="13" fillId="2" borderId="34" xfId="0" applyNumberFormat="1" applyFont="1" applyFill="1" applyBorder="1" applyAlignment="1">
      <alignment/>
    </xf>
    <xf numFmtId="165" fontId="14" fillId="2" borderId="21" xfId="0" applyNumberFormat="1" applyFont="1" applyFill="1" applyBorder="1" applyAlignment="1">
      <alignment/>
    </xf>
    <xf numFmtId="165" fontId="14" fillId="2" borderId="37" xfId="0" applyNumberFormat="1" applyFont="1" applyFill="1" applyBorder="1" applyAlignment="1">
      <alignment/>
    </xf>
    <xf numFmtId="165" fontId="14" fillId="2" borderId="38" xfId="0" applyNumberFormat="1" applyFont="1" applyFill="1" applyBorder="1" applyAlignment="1">
      <alignment/>
    </xf>
    <xf numFmtId="165" fontId="14" fillId="2" borderId="40" xfId="0" applyNumberFormat="1" applyFont="1" applyFill="1" applyBorder="1" applyAlignment="1">
      <alignment/>
    </xf>
    <xf numFmtId="165" fontId="14" fillId="2" borderId="39" xfId="0" applyNumberFormat="1" applyFont="1" applyFill="1" applyBorder="1" applyAlignment="1">
      <alignment/>
    </xf>
    <xf numFmtId="165" fontId="1" fillId="2" borderId="47" xfId="0" applyNumberFormat="1" applyFont="1" applyFill="1" applyBorder="1" applyAlignment="1">
      <alignment/>
    </xf>
    <xf numFmtId="165" fontId="13" fillId="0" borderId="38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165" fontId="14" fillId="2" borderId="42" xfId="0" applyNumberFormat="1" applyFont="1" applyFill="1" applyBorder="1" applyAlignment="1">
      <alignment/>
    </xf>
    <xf numFmtId="165" fontId="14" fillId="2" borderId="43" xfId="0" applyNumberFormat="1" applyFont="1" applyFill="1" applyBorder="1" applyAlignment="1">
      <alignment/>
    </xf>
    <xf numFmtId="165" fontId="14" fillId="2" borderId="45" xfId="0" applyNumberFormat="1" applyFont="1" applyFill="1" applyBorder="1" applyAlignment="1">
      <alignment/>
    </xf>
    <xf numFmtId="165" fontId="14" fillId="2" borderId="44" xfId="0" applyNumberFormat="1" applyFont="1" applyFill="1" applyBorder="1" applyAlignment="1">
      <alignment/>
    </xf>
    <xf numFmtId="165" fontId="13" fillId="2" borderId="17" xfId="0" applyNumberFormat="1" applyFont="1" applyFill="1" applyBorder="1" applyAlignment="1">
      <alignment/>
    </xf>
    <xf numFmtId="165" fontId="13" fillId="2" borderId="23" xfId="0" applyNumberFormat="1" applyFont="1" applyFill="1" applyBorder="1" applyAlignment="1">
      <alignment/>
    </xf>
    <xf numFmtId="165" fontId="13" fillId="2" borderId="24" xfId="0" applyNumberFormat="1" applyFont="1" applyFill="1" applyBorder="1" applyAlignment="1">
      <alignment/>
    </xf>
    <xf numFmtId="165" fontId="13" fillId="2" borderId="25" xfId="0" applyNumberFormat="1" applyFont="1" applyFill="1" applyBorder="1" applyAlignment="1">
      <alignment/>
    </xf>
    <xf numFmtId="165" fontId="13" fillId="2" borderId="26" xfId="0" applyNumberFormat="1" applyFont="1" applyFill="1" applyBorder="1" applyAlignment="1">
      <alignment/>
    </xf>
    <xf numFmtId="165" fontId="0" fillId="2" borderId="26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165" fontId="14" fillId="2" borderId="30" xfId="0" applyNumberFormat="1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/>
    </xf>
    <xf numFmtId="165" fontId="14" fillId="2" borderId="20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165" fontId="14" fillId="2" borderId="27" xfId="0" applyNumberFormat="1" applyFont="1" applyFill="1" applyBorder="1" applyAlignment="1">
      <alignment/>
    </xf>
    <xf numFmtId="165" fontId="14" fillId="2" borderId="28" xfId="0" applyNumberFormat="1" applyFont="1" applyFill="1" applyBorder="1" applyAlignment="1">
      <alignment/>
    </xf>
    <xf numFmtId="165" fontId="14" fillId="2" borderId="29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48" xfId="0" applyNumberFormat="1" applyFill="1" applyBorder="1" applyAlignment="1">
      <alignment/>
    </xf>
    <xf numFmtId="165" fontId="0" fillId="2" borderId="37" xfId="0" applyNumberFormat="1" applyFill="1" applyBorder="1" applyAlignment="1">
      <alignment/>
    </xf>
    <xf numFmtId="165" fontId="0" fillId="2" borderId="38" xfId="0" applyNumberFormat="1" applyFill="1" applyBorder="1" applyAlignment="1">
      <alignment horizontal="right"/>
    </xf>
    <xf numFmtId="165" fontId="0" fillId="2" borderId="49" xfId="0" applyNumberFormat="1" applyFont="1" applyFill="1" applyBorder="1" applyAlignment="1">
      <alignment horizontal="right"/>
    </xf>
    <xf numFmtId="165" fontId="13" fillId="2" borderId="50" xfId="0" applyNumberFormat="1" applyFont="1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 horizontal="left"/>
    </xf>
    <xf numFmtId="165" fontId="13" fillId="2" borderId="22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0" fontId="0" fillId="2" borderId="51" xfId="0" applyFill="1" applyBorder="1" applyAlignment="1">
      <alignment/>
    </xf>
    <xf numFmtId="165" fontId="13" fillId="2" borderId="52" xfId="0" applyNumberFormat="1" applyFont="1" applyFill="1" applyBorder="1" applyAlignment="1">
      <alignment/>
    </xf>
    <xf numFmtId="165" fontId="13" fillId="2" borderId="51" xfId="0" applyNumberFormat="1" applyFont="1" applyFill="1" applyBorder="1" applyAlignment="1">
      <alignment/>
    </xf>
    <xf numFmtId="165" fontId="13" fillId="2" borderId="53" xfId="0" applyNumberFormat="1" applyFont="1" applyFill="1" applyBorder="1" applyAlignment="1">
      <alignment/>
    </xf>
    <xf numFmtId="165" fontId="14" fillId="2" borderId="53" xfId="0" applyNumberFormat="1" applyFont="1" applyFill="1" applyBorder="1" applyAlignment="1">
      <alignment/>
    </xf>
    <xf numFmtId="165" fontId="0" fillId="2" borderId="53" xfId="0" applyNumberFormat="1" applyFill="1" applyBorder="1" applyAlignment="1">
      <alignment/>
    </xf>
    <xf numFmtId="165" fontId="0" fillId="2" borderId="26" xfId="0" applyNumberFormat="1" applyFont="1" applyFill="1" applyBorder="1" applyAlignment="1">
      <alignment/>
    </xf>
    <xf numFmtId="0" fontId="1" fillId="2" borderId="29" xfId="0" applyFont="1" applyFill="1" applyBorder="1" applyAlignment="1">
      <alignment horizontal="center" wrapText="1"/>
    </xf>
    <xf numFmtId="165" fontId="14" fillId="2" borderId="54" xfId="0" applyNumberFormat="1" applyFont="1" applyFill="1" applyBorder="1" applyAlignment="1">
      <alignment/>
    </xf>
    <xf numFmtId="0" fontId="0" fillId="2" borderId="55" xfId="0" applyFill="1" applyBorder="1" applyAlignment="1">
      <alignment horizontal="centerContinuous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165" fontId="0" fillId="2" borderId="50" xfId="0" applyNumberFormat="1" applyFont="1" applyFill="1" applyBorder="1" applyAlignment="1">
      <alignment/>
    </xf>
    <xf numFmtId="165" fontId="0" fillId="2" borderId="58" xfId="0" applyNumberFormat="1" applyFont="1" applyFill="1" applyBorder="1" applyAlignment="1">
      <alignment/>
    </xf>
    <xf numFmtId="165" fontId="0" fillId="2" borderId="57" xfId="0" applyNumberFormat="1" applyFont="1" applyFill="1" applyBorder="1" applyAlignment="1">
      <alignment/>
    </xf>
    <xf numFmtId="165" fontId="13" fillId="2" borderId="59" xfId="0" applyNumberFormat="1" applyFont="1" applyFill="1" applyBorder="1" applyAlignment="1">
      <alignment/>
    </xf>
    <xf numFmtId="165" fontId="14" fillId="2" borderId="50" xfId="0" applyNumberFormat="1" applyFont="1" applyFill="1" applyBorder="1" applyAlignment="1">
      <alignment/>
    </xf>
    <xf numFmtId="165" fontId="14" fillId="2" borderId="58" xfId="0" applyNumberFormat="1" applyFont="1" applyFill="1" applyBorder="1" applyAlignment="1">
      <alignment/>
    </xf>
    <xf numFmtId="165" fontId="13" fillId="2" borderId="55" xfId="0" applyNumberFormat="1" applyFont="1" applyFill="1" applyBorder="1" applyAlignment="1">
      <alignment/>
    </xf>
    <xf numFmtId="165" fontId="14" fillId="2" borderId="56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165" fontId="0" fillId="2" borderId="60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5" fontId="0" fillId="2" borderId="63" xfId="0" applyNumberFormat="1" applyFont="1" applyFill="1" applyBorder="1" applyAlignment="1">
      <alignment/>
    </xf>
    <xf numFmtId="165" fontId="13" fillId="2" borderId="63" xfId="0" applyNumberFormat="1" applyFont="1" applyFill="1" applyBorder="1" applyAlignment="1">
      <alignment/>
    </xf>
    <xf numFmtId="165" fontId="14" fillId="2" borderId="63" xfId="0" applyNumberFormat="1" applyFont="1" applyFill="1" applyBorder="1" applyAlignment="1">
      <alignment/>
    </xf>
    <xf numFmtId="165" fontId="14" fillId="2" borderId="64" xfId="0" applyNumberFormat="1" applyFont="1" applyFill="1" applyBorder="1" applyAlignment="1">
      <alignment/>
    </xf>
    <xf numFmtId="165" fontId="13" fillId="2" borderId="60" xfId="0" applyNumberFormat="1" applyFont="1" applyFill="1" applyBorder="1" applyAlignment="1">
      <alignment/>
    </xf>
    <xf numFmtId="165" fontId="14" fillId="2" borderId="61" xfId="0" applyNumberFormat="1" applyFont="1" applyFill="1" applyBorder="1" applyAlignment="1">
      <alignment/>
    </xf>
    <xf numFmtId="165" fontId="1" fillId="2" borderId="63" xfId="0" applyNumberFormat="1" applyFont="1" applyFill="1" applyBorder="1" applyAlignment="1">
      <alignment/>
    </xf>
    <xf numFmtId="165" fontId="1" fillId="2" borderId="50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62" xfId="0" applyNumberFormat="1" applyFont="1" applyFill="1" applyBorder="1" applyAlignment="1">
      <alignment/>
    </xf>
    <xf numFmtId="165" fontId="14" fillId="2" borderId="35" xfId="0" applyNumberFormat="1" applyFont="1" applyFill="1" applyBorder="1" applyAlignment="1">
      <alignment/>
    </xf>
    <xf numFmtId="165" fontId="14" fillId="2" borderId="62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Continuous"/>
    </xf>
    <xf numFmtId="165" fontId="1" fillId="2" borderId="65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 wrapText="1"/>
    </xf>
    <xf numFmtId="165" fontId="0" fillId="2" borderId="59" xfId="0" applyNumberFormat="1" applyFont="1" applyFill="1" applyBorder="1" applyAlignment="1">
      <alignment/>
    </xf>
    <xf numFmtId="0" fontId="0" fillId="2" borderId="50" xfId="0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165" fontId="9" fillId="2" borderId="22" xfId="0" applyNumberFormat="1" applyFont="1" applyFill="1" applyBorder="1" applyAlignment="1">
      <alignment/>
    </xf>
    <xf numFmtId="165" fontId="12" fillId="2" borderId="22" xfId="0" applyNumberFormat="1" applyFont="1" applyFill="1" applyBorder="1" applyAlignment="1">
      <alignment/>
    </xf>
    <xf numFmtId="0" fontId="13" fillId="2" borderId="22" xfId="21" applyFont="1" applyFill="1" applyBorder="1">
      <alignment/>
      <protection/>
    </xf>
    <xf numFmtId="0" fontId="13" fillId="0" borderId="22" xfId="21" applyFont="1" applyFill="1" applyBorder="1">
      <alignment/>
      <protection/>
    </xf>
    <xf numFmtId="165" fontId="14" fillId="2" borderId="22" xfId="0" applyNumberFormat="1" applyFont="1" applyFill="1" applyBorder="1" applyAlignment="1">
      <alignment/>
    </xf>
    <xf numFmtId="165" fontId="12" fillId="0" borderId="22" xfId="0" applyNumberFormat="1" applyFont="1" applyBorder="1" applyAlignment="1">
      <alignment/>
    </xf>
    <xf numFmtId="0" fontId="0" fillId="2" borderId="22" xfId="0" applyFill="1" applyBorder="1" applyAlignment="1">
      <alignment horizontal="left"/>
    </xf>
    <xf numFmtId="165" fontId="13" fillId="0" borderId="22" xfId="0" applyNumberFormat="1" applyFont="1" applyBorder="1" applyAlignment="1">
      <alignment/>
    </xf>
    <xf numFmtId="165" fontId="14" fillId="2" borderId="19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17" fontId="0" fillId="2" borderId="39" xfId="0" applyNumberFormat="1" applyFill="1" applyBorder="1" applyAlignment="1">
      <alignment/>
    </xf>
    <xf numFmtId="17" fontId="13" fillId="2" borderId="40" xfId="0" applyNumberFormat="1" applyFont="1" applyFill="1" applyBorder="1" applyAlignment="1">
      <alignment/>
    </xf>
    <xf numFmtId="17" fontId="0" fillId="2" borderId="50" xfId="0" applyNumberFormat="1" applyFill="1" applyBorder="1" applyAlignment="1">
      <alignment/>
    </xf>
    <xf numFmtId="17" fontId="0" fillId="2" borderId="37" xfId="0" applyNumberFormat="1" applyFill="1" applyBorder="1" applyAlignment="1">
      <alignment/>
    </xf>
    <xf numFmtId="17" fontId="0" fillId="2" borderId="40" xfId="0" applyNumberFormat="1" applyFill="1" applyBorder="1" applyAlignment="1">
      <alignment/>
    </xf>
    <xf numFmtId="165" fontId="0" fillId="0" borderId="50" xfId="0" applyNumberFormat="1" applyBorder="1" applyAlignment="1">
      <alignment/>
    </xf>
    <xf numFmtId="165" fontId="13" fillId="2" borderId="66" xfId="0" applyNumberFormat="1" applyFont="1" applyFill="1" applyBorder="1" applyAlignment="1">
      <alignment/>
    </xf>
    <xf numFmtId="165" fontId="0" fillId="0" borderId="21" xfId="0" applyNumberFormat="1" applyBorder="1" applyAlignment="1">
      <alignment/>
    </xf>
    <xf numFmtId="165" fontId="14" fillId="2" borderId="66" xfId="0" applyNumberFormat="1" applyFont="1" applyFill="1" applyBorder="1" applyAlignment="1">
      <alignment/>
    </xf>
    <xf numFmtId="165" fontId="1" fillId="2" borderId="66" xfId="0" applyNumberFormat="1" applyFont="1" applyFill="1" applyBorder="1" applyAlignment="1">
      <alignment/>
    </xf>
    <xf numFmtId="165" fontId="14" fillId="2" borderId="67" xfId="0" applyNumberFormat="1" applyFont="1" applyFill="1" applyBorder="1" applyAlignment="1">
      <alignment/>
    </xf>
    <xf numFmtId="165" fontId="13" fillId="2" borderId="67" xfId="0" applyNumberFormat="1" applyFont="1" applyFill="1" applyBorder="1" applyAlignment="1">
      <alignment/>
    </xf>
    <xf numFmtId="1" fontId="7" fillId="2" borderId="16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165" fontId="15" fillId="2" borderId="0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/>
    </xf>
    <xf numFmtId="165" fontId="13" fillId="2" borderId="48" xfId="0" applyNumberFormat="1" applyFont="1" applyFill="1" applyBorder="1" applyAlignment="1">
      <alignment/>
    </xf>
    <xf numFmtId="165" fontId="13" fillId="2" borderId="49" xfId="0" applyNumberFormat="1" applyFont="1" applyFill="1" applyBorder="1" applyAlignment="1">
      <alignment horizontal="right"/>
    </xf>
    <xf numFmtId="165" fontId="0" fillId="2" borderId="38" xfId="0" applyNumberFormat="1" applyFont="1" applyFill="1" applyBorder="1" applyAlignment="1">
      <alignment horizontal="right"/>
    </xf>
    <xf numFmtId="165" fontId="0" fillId="2" borderId="49" xfId="0" applyNumberFormat="1" applyFill="1" applyBorder="1" applyAlignment="1">
      <alignment horizontal="right"/>
    </xf>
    <xf numFmtId="165" fontId="13" fillId="2" borderId="49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/>
    </xf>
    <xf numFmtId="165" fontId="0" fillId="2" borderId="50" xfId="0" applyNumberFormat="1" applyFill="1" applyBorder="1" applyAlignment="1">
      <alignment/>
    </xf>
    <xf numFmtId="165" fontId="5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2" borderId="68" xfId="0" applyNumberFormat="1" applyFill="1" applyBorder="1" applyAlignment="1">
      <alignment/>
    </xf>
    <xf numFmtId="165" fontId="0" fillId="2" borderId="68" xfId="0" applyNumberFormat="1" applyFill="1" applyBorder="1" applyAlignment="1">
      <alignment horizontal="center" wrapText="1"/>
    </xf>
    <xf numFmtId="165" fontId="0" fillId="0" borderId="68" xfId="0" applyNumberFormat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69" xfId="0" applyNumberFormat="1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1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3" fillId="2" borderId="3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165" fontId="16" fillId="2" borderId="0" xfId="0" applyNumberFormat="1" applyFont="1" applyFill="1" applyBorder="1" applyAlignment="1" quotePrefix="1">
      <alignment horizontal="center"/>
    </xf>
    <xf numFmtId="165" fontId="0" fillId="0" borderId="20" xfId="0" applyNumberFormat="1" applyBorder="1" applyAlignment="1">
      <alignment/>
    </xf>
    <xf numFmtId="165" fontId="0" fillId="2" borderId="0" xfId="0" applyNumberFormat="1" applyFill="1" applyBorder="1" applyAlignment="1">
      <alignment horizontal="right"/>
    </xf>
    <xf numFmtId="165" fontId="13" fillId="2" borderId="40" xfId="0" applyNumberFormat="1" applyFont="1" applyFill="1" applyBorder="1" applyAlignment="1" quotePrefix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6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0" fillId="0" borderId="69" xfId="0" applyFont="1" applyBorder="1" applyAlignment="1">
      <alignment vertical="top" wrapText="1"/>
    </xf>
    <xf numFmtId="0" fontId="20" fillId="0" borderId="70" xfId="0" applyFont="1" applyBorder="1" applyAlignment="1">
      <alignment vertical="top" wrapText="1"/>
    </xf>
    <xf numFmtId="6" fontId="20" fillId="0" borderId="70" xfId="0" applyNumberFormat="1" applyFont="1" applyBorder="1" applyAlignment="1">
      <alignment horizontal="center" vertical="top" wrapText="1"/>
    </xf>
    <xf numFmtId="0" fontId="20" fillId="0" borderId="70" xfId="0" applyFont="1" applyBorder="1" applyAlignment="1">
      <alignment horizontal="center" vertical="top" wrapText="1"/>
    </xf>
    <xf numFmtId="17" fontId="20" fillId="0" borderId="70" xfId="0" applyNumberFormat="1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t your programme here!!!!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My%20Documents\Cap%20Monitoring\2002-03\Capital%20Monitoring\2001%20files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workbookViewId="0" topLeftCell="A7">
      <selection activeCell="E26" sqref="E26"/>
    </sheetView>
  </sheetViews>
  <sheetFormatPr defaultColWidth="9.140625" defaultRowHeight="12.75"/>
  <cols>
    <col min="1" max="1" width="2.28125" style="9" customWidth="1"/>
    <col min="2" max="2" width="35.00390625" style="1" customWidth="1"/>
    <col min="3" max="3" width="6.421875" style="1" customWidth="1"/>
    <col min="4" max="4" width="10.7109375" style="1" customWidth="1"/>
    <col min="5" max="5" width="9.28125" style="1" customWidth="1"/>
    <col min="6" max="6" width="9.00390625" style="1" customWidth="1"/>
    <col min="7" max="7" width="8.57421875" style="1" customWidth="1"/>
    <col min="8" max="8" width="8.8515625" style="1" customWidth="1"/>
    <col min="9" max="9" width="10.7109375" style="1" customWidth="1"/>
    <col min="10" max="10" width="10.28125" style="3" customWidth="1"/>
    <col min="11" max="11" width="10.421875" style="3" customWidth="1"/>
    <col min="12" max="12" width="10.140625" style="3" customWidth="1"/>
    <col min="13" max="13" width="12.57421875" style="3" customWidth="1"/>
    <col min="14" max="14" width="6.7109375" style="1" customWidth="1"/>
    <col min="15" max="15" width="1.7109375" style="1" hidden="1" customWidth="1"/>
    <col min="16" max="16" width="4.7109375" style="4" hidden="1" customWidth="1"/>
    <col min="17" max="16384" width="4.140625" style="1" customWidth="1"/>
  </cols>
  <sheetData>
    <row r="1" spans="1:30" ht="15.75">
      <c r="A1" s="57"/>
      <c r="B1" s="15"/>
      <c r="C1" s="15"/>
      <c r="D1" s="15"/>
      <c r="E1" s="15"/>
      <c r="F1" s="15"/>
      <c r="G1" s="15"/>
      <c r="H1" s="15"/>
      <c r="I1" s="15"/>
      <c r="J1" s="17"/>
      <c r="K1" s="17"/>
      <c r="L1" s="17"/>
      <c r="M1" s="17"/>
      <c r="N1" s="9"/>
      <c r="O1" s="9"/>
      <c r="P1" s="1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2:30" ht="12.75">
      <c r="B2" s="9"/>
      <c r="C2" s="9"/>
      <c r="D2" s="9"/>
      <c r="E2" s="9"/>
      <c r="F2" s="9"/>
      <c r="G2" s="9"/>
      <c r="H2" s="9"/>
      <c r="I2" s="9"/>
      <c r="J2" s="17"/>
      <c r="K2" s="17"/>
      <c r="L2" s="17"/>
      <c r="M2" s="17"/>
      <c r="N2" s="9"/>
      <c r="O2" s="9"/>
      <c r="P2" s="1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54" ht="12.75">
      <c r="B3" s="18" t="s">
        <v>241</v>
      </c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20"/>
      <c r="O3" s="21"/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30" ht="18" customHeight="1">
      <c r="B4" s="23"/>
      <c r="C4" s="23"/>
      <c r="D4" s="23"/>
      <c r="E4" s="23"/>
      <c r="F4" s="23"/>
      <c r="G4" s="23"/>
      <c r="H4" s="23"/>
      <c r="I4" s="23"/>
      <c r="J4" s="19"/>
      <c r="K4" s="19"/>
      <c r="L4" s="19"/>
      <c r="M4" s="17"/>
      <c r="N4" s="9"/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12.75">
      <c r="B5" s="9"/>
      <c r="C5" s="9"/>
      <c r="D5" s="9"/>
      <c r="E5" s="9"/>
      <c r="F5" s="9"/>
      <c r="G5" s="9"/>
      <c r="H5" s="9"/>
      <c r="I5" s="9"/>
      <c r="J5" s="24"/>
      <c r="K5" s="59" t="s">
        <v>416</v>
      </c>
      <c r="L5" s="25"/>
      <c r="M5" s="26"/>
      <c r="N5" s="9"/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51">
      <c r="B6" s="10" t="s">
        <v>39</v>
      </c>
      <c r="C6" s="10"/>
      <c r="D6" s="10"/>
      <c r="E6" s="10"/>
      <c r="F6" s="10"/>
      <c r="G6" s="10"/>
      <c r="H6" s="10"/>
      <c r="I6" s="10"/>
      <c r="J6" s="27" t="s">
        <v>474</v>
      </c>
      <c r="K6" s="58" t="s">
        <v>131</v>
      </c>
      <c r="L6" s="28" t="s">
        <v>54</v>
      </c>
      <c r="M6" s="29" t="s">
        <v>0</v>
      </c>
      <c r="N6" s="30"/>
      <c r="O6" s="9"/>
      <c r="P6" s="31" t="s">
        <v>35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27" customHeight="1">
      <c r="B7" s="15"/>
      <c r="C7" s="15"/>
      <c r="D7" s="291" t="s">
        <v>503</v>
      </c>
      <c r="E7" s="291" t="s">
        <v>500</v>
      </c>
      <c r="F7" s="291" t="s">
        <v>502</v>
      </c>
      <c r="G7" s="291" t="s">
        <v>501</v>
      </c>
      <c r="H7" s="291" t="s">
        <v>51</v>
      </c>
      <c r="I7" s="15"/>
      <c r="J7" s="32"/>
      <c r="K7" s="33"/>
      <c r="L7" s="34"/>
      <c r="M7" s="35"/>
      <c r="N7" s="13"/>
      <c r="O7" s="9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>
      <c r="B8" s="9"/>
      <c r="C8" s="9"/>
      <c r="D8" s="33" t="s">
        <v>41</v>
      </c>
      <c r="E8" s="33" t="s">
        <v>41</v>
      </c>
      <c r="F8" s="33" t="s">
        <v>41</v>
      </c>
      <c r="G8" s="33" t="s">
        <v>41</v>
      </c>
      <c r="H8" s="33" t="s">
        <v>41</v>
      </c>
      <c r="I8" s="9"/>
      <c r="J8" s="32" t="s">
        <v>41</v>
      </c>
      <c r="K8" s="33" t="s">
        <v>41</v>
      </c>
      <c r="L8" s="34" t="s">
        <v>41</v>
      </c>
      <c r="M8" s="36" t="s">
        <v>41</v>
      </c>
      <c r="N8" s="37"/>
      <c r="O8" s="37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2:30" ht="12" customHeight="1">
      <c r="B9" s="9"/>
      <c r="C9" s="9"/>
      <c r="E9" s="9"/>
      <c r="F9" s="9"/>
      <c r="G9" s="9"/>
      <c r="I9" s="9"/>
      <c r="J9" s="38"/>
      <c r="K9" s="16"/>
      <c r="L9" s="39"/>
      <c r="M9" s="40"/>
      <c r="N9" s="41"/>
      <c r="O9" s="9"/>
      <c r="P9" s="1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12.75">
      <c r="B10" s="9" t="s">
        <v>15</v>
      </c>
      <c r="C10" s="9" t="s">
        <v>498</v>
      </c>
      <c r="D10" s="56">
        <v>0</v>
      </c>
      <c r="E10" s="56">
        <v>0.057</v>
      </c>
      <c r="F10" s="56">
        <v>5.033</v>
      </c>
      <c r="G10" s="56">
        <f>15.946+0.23+0.015+0.006+0.002</f>
        <v>16.198999999999998</v>
      </c>
      <c r="H10" s="56">
        <f>SUM(D10:G10)</f>
        <v>21.288999999999998</v>
      </c>
      <c r="I10" s="9"/>
      <c r="J10" s="38">
        <v>21.288999999999998</v>
      </c>
      <c r="K10" s="292"/>
      <c r="L10" s="39">
        <f>J10+K10</f>
        <v>21.288999999999998</v>
      </c>
      <c r="M10" s="40">
        <f>'Appendix 1b'!U60</f>
        <v>9.278</v>
      </c>
      <c r="N10" s="41"/>
      <c r="O10" s="9"/>
      <c r="P10" s="42" t="e">
        <f>SUM(#REF!)-#REF!</f>
        <v>#REF!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ht="12.75">
      <c r="B11" s="9"/>
      <c r="C11" s="9" t="s">
        <v>499</v>
      </c>
      <c r="D11" s="56">
        <v>4.574</v>
      </c>
      <c r="E11" s="56">
        <v>0.226</v>
      </c>
      <c r="F11" s="56">
        <v>0</v>
      </c>
      <c r="G11" s="56">
        <f>0.796+0.298+0.75+8.035+0.7+1.178+0.4+0.071+0.125</f>
        <v>12.352999999999998</v>
      </c>
      <c r="H11" s="56">
        <f>SUM(D11:G11)</f>
        <v>17.153</v>
      </c>
      <c r="I11" s="9"/>
      <c r="J11" s="38">
        <v>17.153000000000002</v>
      </c>
      <c r="K11" s="16"/>
      <c r="L11" s="39">
        <f>J11+K11</f>
        <v>17.153000000000002</v>
      </c>
      <c r="M11" s="40">
        <f>'Appendix 1b'!U79</f>
        <v>11.209</v>
      </c>
      <c r="N11" s="41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ht="12.75">
      <c r="B12" s="9"/>
      <c r="C12" s="14"/>
      <c r="D12" s="56"/>
      <c r="E12" s="56"/>
      <c r="F12" s="56"/>
      <c r="G12" s="56"/>
      <c r="H12" s="56"/>
      <c r="I12" s="9"/>
      <c r="J12" s="38"/>
      <c r="K12" s="16"/>
      <c r="L12" s="39"/>
      <c r="M12" s="40"/>
      <c r="N12" s="41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0" ht="12.75">
      <c r="B13" s="9"/>
      <c r="C13" s="9"/>
      <c r="D13" s="56"/>
      <c r="E13" s="56"/>
      <c r="F13" s="56"/>
      <c r="G13" s="56"/>
      <c r="H13" s="56"/>
      <c r="I13" s="9"/>
      <c r="J13" s="38"/>
      <c r="K13" s="16"/>
      <c r="L13" s="39"/>
      <c r="M13" s="40"/>
      <c r="N13" s="41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2:30" ht="12.75">
      <c r="B14" s="9" t="s">
        <v>16</v>
      </c>
      <c r="C14" s="9"/>
      <c r="D14" s="56">
        <f>0.498+2.93</f>
        <v>3.428</v>
      </c>
      <c r="E14" s="56">
        <v>2.05</v>
      </c>
      <c r="F14" s="56">
        <v>0.205</v>
      </c>
      <c r="G14" s="56">
        <v>8.545</v>
      </c>
      <c r="H14" s="56">
        <f>SUM(D14:G14)</f>
        <v>14.228</v>
      </c>
      <c r="I14" s="9"/>
      <c r="J14" s="38">
        <v>14.228</v>
      </c>
      <c r="K14" s="16"/>
      <c r="L14" s="39">
        <f>SUM(J14:K14)</f>
        <v>14.228</v>
      </c>
      <c r="M14" s="40">
        <f>'Appendix 1b'!U113</f>
        <v>7.920000000000001</v>
      </c>
      <c r="N14" s="41"/>
      <c r="O14" s="17"/>
      <c r="P14" s="42" t="e">
        <f>SUM(#REF!)-#REF!</f>
        <v>#REF!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ht="12.75">
      <c r="B15" s="9"/>
      <c r="C15" s="9"/>
      <c r="D15" s="56"/>
      <c r="E15" s="56"/>
      <c r="F15" s="56"/>
      <c r="G15" s="56"/>
      <c r="H15" s="56"/>
      <c r="I15" s="9"/>
      <c r="J15" s="38"/>
      <c r="K15" s="16"/>
      <c r="L15" s="39"/>
      <c r="M15" s="40"/>
      <c r="N15" s="41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ht="12.75">
      <c r="B16" s="9" t="s">
        <v>17</v>
      </c>
      <c r="C16" s="9"/>
      <c r="D16" s="56">
        <f>0.835+4.5+4.137</f>
        <v>9.472</v>
      </c>
      <c r="E16" s="56">
        <v>0.016</v>
      </c>
      <c r="F16" s="56"/>
      <c r="G16" s="56">
        <v>6.18</v>
      </c>
      <c r="H16" s="56">
        <f>SUM(D16:G16)</f>
        <v>15.668</v>
      </c>
      <c r="I16" s="9"/>
      <c r="J16" s="38">
        <v>16.796999999999997</v>
      </c>
      <c r="K16" s="16">
        <f>-1.145+0.016</f>
        <v>-1.129</v>
      </c>
      <c r="L16" s="39">
        <f>SUM(J16:K16)</f>
        <v>15.667999999999997</v>
      </c>
      <c r="M16" s="40">
        <f>'Appendix 1b'!U205</f>
        <v>4.602</v>
      </c>
      <c r="N16" s="41"/>
      <c r="O16" s="9"/>
      <c r="P16" s="42" t="e">
        <f>SUM(#REF!)-#REF!</f>
        <v>#REF!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ht="12.75">
      <c r="B17" s="9"/>
      <c r="C17" s="9"/>
      <c r="D17" s="56"/>
      <c r="E17" s="56"/>
      <c r="F17" s="56"/>
      <c r="G17" s="56"/>
      <c r="H17" s="56"/>
      <c r="I17" s="9"/>
      <c r="J17" s="38"/>
      <c r="K17" s="16"/>
      <c r="L17" s="39"/>
      <c r="M17" s="40"/>
      <c r="N17" s="41"/>
      <c r="O17" s="9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ht="12.75">
      <c r="B18" s="9" t="s">
        <v>18</v>
      </c>
      <c r="C18" s="9"/>
      <c r="D18" s="56">
        <f>0.147+0.189</f>
        <v>0.33599999999999997</v>
      </c>
      <c r="E18" s="56">
        <v>0.079</v>
      </c>
      <c r="F18" s="56">
        <f>0.226+0.11</f>
        <v>0.336</v>
      </c>
      <c r="G18" s="56">
        <f>0.316+0.06</f>
        <v>0.376</v>
      </c>
      <c r="H18" s="56">
        <f>SUM(D18:G18)</f>
        <v>1.127</v>
      </c>
      <c r="I18" s="9"/>
      <c r="J18" s="38">
        <v>1.067</v>
      </c>
      <c r="K18" s="16">
        <v>0.06</v>
      </c>
      <c r="L18" s="39">
        <f>SUM(J18:K18)</f>
        <v>1.127</v>
      </c>
      <c r="M18" s="40">
        <f>'Appendix 1b'!U234</f>
        <v>0.628</v>
      </c>
      <c r="N18" s="41"/>
      <c r="O18" s="9"/>
      <c r="P18" s="42" t="e">
        <f>SUM(#REF!)-#REF!</f>
        <v>#REF!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12.75">
      <c r="B19" s="9"/>
      <c r="C19" s="9"/>
      <c r="D19" s="56"/>
      <c r="E19" s="56"/>
      <c r="F19" s="56"/>
      <c r="G19" s="56"/>
      <c r="H19" s="56"/>
      <c r="I19" s="9"/>
      <c r="J19" s="38"/>
      <c r="K19" s="16"/>
      <c r="L19" s="39"/>
      <c r="M19" s="40"/>
      <c r="N19" s="41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0" ht="12.75">
      <c r="B20" s="9"/>
      <c r="C20" s="9"/>
      <c r="D20" s="56"/>
      <c r="E20" s="56"/>
      <c r="F20" s="56"/>
      <c r="G20" s="56"/>
      <c r="H20" s="56"/>
      <c r="I20" s="9"/>
      <c r="J20" s="43"/>
      <c r="K20" s="44"/>
      <c r="L20" s="45"/>
      <c r="M20" s="26"/>
      <c r="N20" s="41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0" ht="12.75">
      <c r="B21" s="10" t="s">
        <v>19</v>
      </c>
      <c r="C21" s="10"/>
      <c r="D21" s="64">
        <f>SUM(D10:D18)</f>
        <v>17.809999999999995</v>
      </c>
      <c r="E21" s="64">
        <f>SUM(E10:E18)</f>
        <v>2.428</v>
      </c>
      <c r="F21" s="64">
        <f>SUM(F10:F18)</f>
        <v>5.574000000000001</v>
      </c>
      <c r="G21" s="64">
        <f>SUM(G10:G18)</f>
        <v>43.65299999999999</v>
      </c>
      <c r="H21" s="64">
        <f>SUM(H10:H18)</f>
        <v>69.46499999999999</v>
      </c>
      <c r="I21" s="10"/>
      <c r="J21" s="38">
        <f>SUM(J10:J18)</f>
        <v>70.53399999999999</v>
      </c>
      <c r="K21" s="16">
        <f>SUM(K10:K18)</f>
        <v>-1.069</v>
      </c>
      <c r="L21" s="39">
        <f>SUM(J21:K21)</f>
        <v>69.46499999999999</v>
      </c>
      <c r="M21" s="40">
        <f>SUM(M10:M19)</f>
        <v>33.637</v>
      </c>
      <c r="N21" s="41"/>
      <c r="O21" s="9"/>
      <c r="P21" s="17" t="e">
        <f>SUM(P10:P18)</f>
        <v>#REF!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ht="15.75" customHeight="1">
      <c r="B22" s="9"/>
      <c r="C22" s="9"/>
      <c r="D22" s="56"/>
      <c r="E22" s="56"/>
      <c r="F22" s="56"/>
      <c r="G22" s="56"/>
      <c r="H22" s="56"/>
      <c r="I22" s="9"/>
      <c r="J22" s="38"/>
      <c r="K22" s="16"/>
      <c r="L22" s="39"/>
      <c r="M22" s="40"/>
      <c r="N22" s="41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ht="12.75">
      <c r="B23" s="46" t="s">
        <v>20</v>
      </c>
      <c r="C23" s="46"/>
      <c r="D23" s="290"/>
      <c r="E23" s="290"/>
      <c r="F23" s="290"/>
      <c r="G23" s="290"/>
      <c r="H23" s="290"/>
      <c r="I23" s="46"/>
      <c r="J23" s="38"/>
      <c r="K23" s="16"/>
      <c r="L23" s="39"/>
      <c r="M23" s="40"/>
      <c r="N23" s="41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 ht="12.75">
      <c r="B24" s="9"/>
      <c r="C24" s="9"/>
      <c r="D24" s="56"/>
      <c r="E24" s="56"/>
      <c r="F24" s="56"/>
      <c r="G24" s="56"/>
      <c r="H24" s="56"/>
      <c r="I24" s="9"/>
      <c r="J24" s="38"/>
      <c r="K24" s="16"/>
      <c r="L24" s="39"/>
      <c r="M24" s="40"/>
      <c r="N24" s="41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ht="12.75">
      <c r="B25" s="9" t="s">
        <v>21</v>
      </c>
      <c r="C25" s="9"/>
      <c r="D25" s="56"/>
      <c r="E25" s="56">
        <v>0.326</v>
      </c>
      <c r="F25" s="56">
        <f>0.003+0.03</f>
        <v>0.033</v>
      </c>
      <c r="G25" s="56">
        <f>1.879+0.071</f>
        <v>1.95</v>
      </c>
      <c r="H25" s="56">
        <f>SUM(D25:G25)</f>
        <v>2.309</v>
      </c>
      <c r="I25" s="9"/>
      <c r="J25" s="38">
        <v>2.208</v>
      </c>
      <c r="K25" s="16">
        <v>0.101</v>
      </c>
      <c r="L25" s="39">
        <f>SUM(J25:K25)</f>
        <v>2.309</v>
      </c>
      <c r="M25" s="40">
        <f>'Appendix 1b'!U283</f>
        <v>1.9560000000000002</v>
      </c>
      <c r="N25" s="41"/>
      <c r="O25" s="9"/>
      <c r="P25" s="42" t="e">
        <f>SUM(#REF!)-#REF!</f>
        <v>#REF!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ht="12.75">
      <c r="B26" s="9"/>
      <c r="C26" s="9"/>
      <c r="D26" s="56"/>
      <c r="E26" s="56"/>
      <c r="F26" s="56"/>
      <c r="G26" s="56"/>
      <c r="H26" s="56"/>
      <c r="I26" s="9"/>
      <c r="J26" s="38"/>
      <c r="K26" s="16"/>
      <c r="L26" s="39"/>
      <c r="M26" s="40"/>
      <c r="N26" s="41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ht="12.75">
      <c r="B27" s="9" t="s">
        <v>37</v>
      </c>
      <c r="C27" s="9"/>
      <c r="D27" s="56"/>
      <c r="E27" s="56">
        <v>1.016</v>
      </c>
      <c r="F27" s="56">
        <v>0.057</v>
      </c>
      <c r="G27" s="56">
        <v>1.594</v>
      </c>
      <c r="H27" s="56">
        <f>SUM(D27:G27)</f>
        <v>2.667</v>
      </c>
      <c r="I27" s="9"/>
      <c r="J27" s="38">
        <v>2.667</v>
      </c>
      <c r="K27" s="16"/>
      <c r="L27" s="39">
        <f>SUM(J27:K27)</f>
        <v>2.667</v>
      </c>
      <c r="M27" s="40">
        <f>'Appendix 1b'!U302</f>
        <v>1.611</v>
      </c>
      <c r="N27" s="41"/>
      <c r="O27" s="9"/>
      <c r="P27" s="42" t="e">
        <f>SUM(#REF!)-#REF!</f>
        <v>#REF!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12.75">
      <c r="B28" s="9"/>
      <c r="C28" s="9"/>
      <c r="D28" s="56"/>
      <c r="E28" s="56"/>
      <c r="F28" s="56"/>
      <c r="G28" s="56"/>
      <c r="H28" s="56"/>
      <c r="I28" s="9"/>
      <c r="J28" s="38"/>
      <c r="K28" s="16"/>
      <c r="L28" s="39"/>
      <c r="M28" s="40"/>
      <c r="N28" s="41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ht="12.75">
      <c r="B29" s="9" t="s">
        <v>38</v>
      </c>
      <c r="C29" s="9"/>
      <c r="D29" s="56"/>
      <c r="E29" s="56">
        <v>4.715</v>
      </c>
      <c r="F29" s="56"/>
      <c r="G29" s="56">
        <v>0.139</v>
      </c>
      <c r="H29" s="56">
        <f>SUM(D29:G29)</f>
        <v>4.854</v>
      </c>
      <c r="I29" s="9"/>
      <c r="J29" s="38">
        <v>4.854</v>
      </c>
      <c r="K29" s="16"/>
      <c r="L29" s="39">
        <f>SUM(J29:K29)</f>
        <v>4.854</v>
      </c>
      <c r="M29" s="40">
        <f>'Appendix 1b'!U323</f>
        <v>2.3689999999999998</v>
      </c>
      <c r="N29" s="41"/>
      <c r="O29" s="9"/>
      <c r="P29" s="42" t="e">
        <f>SUM(#REF!)-#REF!</f>
        <v>#REF!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t="12.75">
      <c r="B30" s="9"/>
      <c r="C30" s="9"/>
      <c r="D30" s="56"/>
      <c r="E30" s="56"/>
      <c r="F30" s="56"/>
      <c r="G30" s="56"/>
      <c r="H30" s="56"/>
      <c r="I30" s="9"/>
      <c r="J30" s="38"/>
      <c r="K30" s="16"/>
      <c r="L30" s="39"/>
      <c r="M30" s="40"/>
      <c r="N30" s="41"/>
      <c r="O30" s="9"/>
      <c r="P30" s="4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>
      <c r="B31" s="9" t="s">
        <v>56</v>
      </c>
      <c r="C31" s="9"/>
      <c r="D31" s="56">
        <v>0.011</v>
      </c>
      <c r="E31" s="56">
        <v>0.208</v>
      </c>
      <c r="F31" s="56">
        <v>0.003</v>
      </c>
      <c r="G31" s="56">
        <v>0.028</v>
      </c>
      <c r="H31" s="56">
        <f>SUM(D31:G31)</f>
        <v>0.25</v>
      </c>
      <c r="I31" s="9"/>
      <c r="J31" s="38">
        <v>0.25</v>
      </c>
      <c r="K31" s="16"/>
      <c r="L31" s="39">
        <f>SUM(J31:K31)</f>
        <v>0.25</v>
      </c>
      <c r="M31" s="40">
        <f>'Appendix 1b'!U246</f>
        <v>0.09</v>
      </c>
      <c r="N31" s="41"/>
      <c r="O31" s="9"/>
      <c r="P31" s="4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ht="12.75">
      <c r="B32" s="9"/>
      <c r="C32" s="9"/>
      <c r="D32" s="56"/>
      <c r="E32" s="56"/>
      <c r="F32" s="56"/>
      <c r="G32" s="56"/>
      <c r="H32" s="56"/>
      <c r="I32" s="9"/>
      <c r="J32" s="38"/>
      <c r="K32" s="16"/>
      <c r="L32" s="39"/>
      <c r="M32" s="40"/>
      <c r="N32" s="41"/>
      <c r="O32" s="9"/>
      <c r="P32" s="4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ht="12.75">
      <c r="B33" s="9" t="s">
        <v>126</v>
      </c>
      <c r="C33" s="9"/>
      <c r="D33" s="56"/>
      <c r="E33" s="56">
        <v>0.124</v>
      </c>
      <c r="F33" s="56">
        <f>2.324+0.019</f>
        <v>2.343</v>
      </c>
      <c r="G33" s="56"/>
      <c r="H33" s="56">
        <f>SUM(D33:G33)</f>
        <v>2.467</v>
      </c>
      <c r="I33" s="9"/>
      <c r="J33" s="38">
        <v>2.3219999999999996</v>
      </c>
      <c r="K33" s="16">
        <v>0.145</v>
      </c>
      <c r="L33" s="39">
        <f>SUM(J33:K33)</f>
        <v>2.4669999999999996</v>
      </c>
      <c r="M33" s="40">
        <f>'Appendix 1b'!U266</f>
        <v>0.876</v>
      </c>
      <c r="N33" s="41"/>
      <c r="O33" s="9"/>
      <c r="P33" s="42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ht="23.25" customHeight="1">
      <c r="B34" s="9"/>
      <c r="C34" s="9"/>
      <c r="D34" s="56"/>
      <c r="E34" s="56"/>
      <c r="F34" s="56"/>
      <c r="G34" s="56"/>
      <c r="H34" s="56"/>
      <c r="I34" s="9"/>
      <c r="J34" s="38"/>
      <c r="K34" s="16"/>
      <c r="L34" s="39"/>
      <c r="M34" s="40"/>
      <c r="N34" s="41"/>
      <c r="O34" s="9"/>
      <c r="P34" s="4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ht="12.75">
      <c r="B35" s="9"/>
      <c r="C35" s="9"/>
      <c r="D35" s="56"/>
      <c r="E35" s="56"/>
      <c r="F35" s="56"/>
      <c r="G35" s="56"/>
      <c r="H35" s="56"/>
      <c r="I35" s="9"/>
      <c r="J35" s="43"/>
      <c r="K35" s="44"/>
      <c r="L35" s="45"/>
      <c r="M35" s="26"/>
      <c r="N35" s="41"/>
      <c r="O35" s="9"/>
      <c r="P35" s="10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ht="12.75">
      <c r="B36" s="10" t="s">
        <v>22</v>
      </c>
      <c r="C36" s="10"/>
      <c r="D36" s="64">
        <f>SUM(D25:D33)</f>
        <v>0.011</v>
      </c>
      <c r="E36" s="64">
        <f>SUM(E25:E33)</f>
        <v>6.389</v>
      </c>
      <c r="F36" s="64">
        <f>SUM(F25:F33)</f>
        <v>2.436</v>
      </c>
      <c r="G36" s="64">
        <f>SUM(G25:G33)</f>
        <v>3.711</v>
      </c>
      <c r="H36" s="64">
        <f>SUM(H25:H33)</f>
        <v>12.547</v>
      </c>
      <c r="I36" s="10"/>
      <c r="J36" s="38">
        <f>SUM(J25:J34)</f>
        <v>12.300999999999998</v>
      </c>
      <c r="K36" s="16">
        <f>SUM(K25:K34)</f>
        <v>0.246</v>
      </c>
      <c r="L36" s="39">
        <f>SUM(L25:L34)</f>
        <v>12.547</v>
      </c>
      <c r="M36" s="40">
        <f>SUM(M25:M34)</f>
        <v>6.902</v>
      </c>
      <c r="N36" s="41"/>
      <c r="O36" s="9"/>
      <c r="P36" s="42" t="e">
        <f>SUM(#REF!)-#REF!</f>
        <v>#REF!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2:30" ht="12.75">
      <c r="B37" s="10"/>
      <c r="C37" s="10"/>
      <c r="D37" s="10"/>
      <c r="E37" s="10"/>
      <c r="F37" s="10"/>
      <c r="G37" s="10"/>
      <c r="H37" s="10"/>
      <c r="I37" s="10"/>
      <c r="J37" s="38"/>
      <c r="K37" s="16"/>
      <c r="L37" s="39"/>
      <c r="M37" s="40"/>
      <c r="N37" s="41"/>
      <c r="O37" s="9"/>
      <c r="P37" s="4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:30" ht="12.75">
      <c r="B38" s="9"/>
      <c r="C38" s="9"/>
      <c r="D38" s="9"/>
      <c r="E38" s="9"/>
      <c r="F38" s="9"/>
      <c r="G38" s="9"/>
      <c r="H38" s="9"/>
      <c r="I38" s="9"/>
      <c r="J38" s="43"/>
      <c r="K38" s="44"/>
      <c r="L38" s="45"/>
      <c r="M38" s="26"/>
      <c r="N38" s="41"/>
      <c r="O38" s="9"/>
      <c r="P38" s="1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 ht="12.75">
      <c r="B39" s="10" t="s">
        <v>23</v>
      </c>
      <c r="C39" s="10"/>
      <c r="D39" s="64">
        <f>D36+D21</f>
        <v>17.820999999999994</v>
      </c>
      <c r="E39" s="64">
        <f>E36+E21</f>
        <v>8.817</v>
      </c>
      <c r="F39" s="64">
        <f>F36+F21</f>
        <v>8.010000000000002</v>
      </c>
      <c r="G39" s="64">
        <f>G36+G21</f>
        <v>47.36399999999999</v>
      </c>
      <c r="H39" s="64">
        <f>H36+H21</f>
        <v>82.01199999999999</v>
      </c>
      <c r="I39" s="10"/>
      <c r="J39" s="47">
        <f>J21+J36</f>
        <v>82.835</v>
      </c>
      <c r="K39" s="48">
        <f>K21+K36</f>
        <v>-0.823</v>
      </c>
      <c r="L39" s="49">
        <f>L21+L36</f>
        <v>82.01199999999999</v>
      </c>
      <c r="M39" s="50">
        <f>M21+M36</f>
        <v>40.539</v>
      </c>
      <c r="N39" s="41"/>
      <c r="O39" s="17"/>
      <c r="P39" s="42" t="e">
        <f>SUM(#REF!)-#REF!</f>
        <v>#REF!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t="13.5" thickBot="1">
      <c r="B40" s="9"/>
      <c r="C40" s="9"/>
      <c r="D40" s="9"/>
      <c r="E40" s="9"/>
      <c r="F40" s="9"/>
      <c r="G40" s="9"/>
      <c r="H40" s="9"/>
      <c r="I40" s="9"/>
      <c r="J40" s="51"/>
      <c r="K40" s="52"/>
      <c r="L40" s="53"/>
      <c r="M40" s="54"/>
      <c r="N40" s="55"/>
      <c r="O40" s="9"/>
      <c r="P40" s="1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ht="13.5" thickTop="1">
      <c r="B41" s="9"/>
      <c r="C41" s="9"/>
      <c r="D41" s="9"/>
      <c r="E41" s="9"/>
      <c r="F41" s="9"/>
      <c r="G41" s="9"/>
      <c r="H41" s="9"/>
      <c r="I41" s="9"/>
      <c r="J41" s="17"/>
      <c r="K41" s="17"/>
      <c r="L41" s="17"/>
      <c r="M41" s="17"/>
      <c r="N41" s="41"/>
      <c r="O41" s="9"/>
      <c r="P41" s="1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12" customHeight="1">
      <c r="B42" s="9" t="s">
        <v>585</v>
      </c>
      <c r="C42" s="9"/>
      <c r="D42" s="56">
        <f>'Appendix 2'!O22-'Appendix 1a '!D39</f>
        <v>-1.2589999999999932</v>
      </c>
      <c r="E42" s="56">
        <f>-D42</f>
        <v>1.2589999999999932</v>
      </c>
      <c r="F42" s="9"/>
      <c r="G42" s="9"/>
      <c r="H42" s="9"/>
      <c r="I42" s="9"/>
      <c r="J42" s="17"/>
      <c r="K42" s="17"/>
      <c r="L42" s="17"/>
      <c r="M42" s="17"/>
      <c r="N42" s="9"/>
      <c r="O42" s="9"/>
      <c r="P42" s="1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t="12.75">
      <c r="B43" s="10" t="s">
        <v>591</v>
      </c>
      <c r="C43" s="9"/>
      <c r="D43" s="64">
        <f>SUM(D39:D42)</f>
        <v>16.562</v>
      </c>
      <c r="E43" s="64">
        <f>SUM(E39:E42)</f>
        <v>10.075999999999993</v>
      </c>
      <c r="F43" s="64">
        <f>SUM(F39:F42)</f>
        <v>8.010000000000002</v>
      </c>
      <c r="G43" s="64">
        <f>SUM(G39:G42)</f>
        <v>47.36399999999999</v>
      </c>
      <c r="H43" s="64">
        <f>SUM(H39:H42)</f>
        <v>82.01199999999999</v>
      </c>
      <c r="I43" s="9"/>
      <c r="J43" s="17"/>
      <c r="K43" s="17"/>
      <c r="L43" s="17"/>
      <c r="M43" s="41"/>
      <c r="N43" s="9"/>
      <c r="O43" s="1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2:30" ht="12.75">
      <c r="B44" s="9"/>
      <c r="C44" s="9"/>
      <c r="D44" s="9"/>
      <c r="E44" s="9"/>
      <c r="F44" s="9"/>
      <c r="G44" s="9"/>
      <c r="H44" s="9"/>
      <c r="I44" s="9"/>
      <c r="J44" s="17"/>
      <c r="K44" s="17"/>
      <c r="L44" s="17"/>
      <c r="M44" s="41"/>
      <c r="N44" s="9"/>
      <c r="O44" s="1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2:30" ht="12.75">
      <c r="B45" s="9"/>
      <c r="C45" s="9"/>
      <c r="D45" s="9"/>
      <c r="E45" s="9"/>
      <c r="F45" s="9"/>
      <c r="G45" s="9"/>
      <c r="H45" s="9"/>
      <c r="I45" s="9"/>
      <c r="J45" s="17"/>
      <c r="K45" s="17"/>
      <c r="L45" s="17"/>
      <c r="M45" s="41"/>
      <c r="N45" s="9"/>
      <c r="O45" s="1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2.75">
      <c r="B46" s="9"/>
      <c r="C46" s="9"/>
      <c r="D46" s="9"/>
      <c r="E46" s="9"/>
      <c r="F46" s="9"/>
      <c r="G46" s="9"/>
      <c r="H46" s="9"/>
      <c r="I46" s="9"/>
      <c r="J46" s="17"/>
      <c r="K46" s="17"/>
      <c r="L46" s="17"/>
      <c r="M46" s="56"/>
      <c r="N46" s="9"/>
      <c r="O46" s="1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t="12.75">
      <c r="B47" s="9"/>
      <c r="C47" s="9"/>
      <c r="D47" s="9"/>
      <c r="E47" s="9"/>
      <c r="F47" s="9"/>
      <c r="G47" s="9"/>
      <c r="H47" s="9"/>
      <c r="I47" s="9"/>
      <c r="J47" s="17"/>
      <c r="K47" s="17"/>
      <c r="L47" s="17"/>
      <c r="M47" s="56"/>
      <c r="N47" s="9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:30" ht="12.75">
      <c r="B48" s="9"/>
      <c r="C48" s="9"/>
      <c r="D48" s="9"/>
      <c r="E48" s="9"/>
      <c r="F48" s="9"/>
      <c r="G48" s="9"/>
      <c r="H48" s="9"/>
      <c r="I48" s="9"/>
      <c r="J48" s="17"/>
      <c r="K48" s="17"/>
      <c r="L48" s="17"/>
      <c r="M48" s="56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ht="12.75">
      <c r="B49" s="9"/>
      <c r="C49" s="9"/>
      <c r="D49" s="9"/>
      <c r="E49" s="9"/>
      <c r="F49" s="9"/>
      <c r="G49" s="9"/>
      <c r="H49" s="9"/>
      <c r="I49" s="9"/>
      <c r="J49" s="17"/>
      <c r="K49" s="17"/>
      <c r="L49" s="17"/>
      <c r="M49" s="56"/>
      <c r="N49" s="9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2:30" ht="12.75">
      <c r="B50" s="9"/>
      <c r="C50" s="9"/>
      <c r="D50" s="9"/>
      <c r="E50" s="9"/>
      <c r="F50" s="9"/>
      <c r="G50" s="9"/>
      <c r="H50" s="9"/>
      <c r="I50" s="9"/>
      <c r="J50" s="17"/>
      <c r="K50" s="17"/>
      <c r="L50" s="17"/>
      <c r="M50" s="56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:30" ht="12.75">
      <c r="B51" s="9"/>
      <c r="C51" s="9"/>
      <c r="D51" s="9"/>
      <c r="E51" s="9"/>
      <c r="F51" s="9"/>
      <c r="G51" s="9"/>
      <c r="H51" s="9"/>
      <c r="I51" s="9"/>
      <c r="J51" s="17"/>
      <c r="K51" s="17"/>
      <c r="L51" s="17"/>
      <c r="M51" s="56"/>
      <c r="N51" s="9"/>
      <c r="O51" s="1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:30" ht="12.75">
      <c r="B52" s="9"/>
      <c r="C52" s="9"/>
      <c r="D52" s="9"/>
      <c r="E52" s="9"/>
      <c r="F52" s="9"/>
      <c r="G52" s="9"/>
      <c r="H52" s="9"/>
      <c r="I52" s="9"/>
      <c r="J52" s="17"/>
      <c r="K52" s="17"/>
      <c r="L52" s="17"/>
      <c r="M52" s="56"/>
      <c r="N52" s="9"/>
      <c r="O52" s="1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2.75">
      <c r="B53" s="9"/>
      <c r="C53" s="9"/>
      <c r="D53" s="9"/>
      <c r="E53" s="9"/>
      <c r="F53" s="9"/>
      <c r="G53" s="9"/>
      <c r="H53" s="9"/>
      <c r="I53" s="9"/>
      <c r="J53" s="17"/>
      <c r="K53" s="17"/>
      <c r="L53" s="17"/>
      <c r="M53" s="56"/>
      <c r="N53" s="9"/>
      <c r="O53" s="1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0" ht="12.75">
      <c r="B54" s="9"/>
      <c r="C54" s="9"/>
      <c r="D54" s="9"/>
      <c r="E54" s="9"/>
      <c r="F54" s="9"/>
      <c r="G54" s="9"/>
      <c r="H54" s="9"/>
      <c r="I54" s="9"/>
      <c r="J54" s="17"/>
      <c r="K54" s="17"/>
      <c r="L54" s="17"/>
      <c r="M54" s="17"/>
      <c r="N54" s="56"/>
      <c r="O54" s="9"/>
      <c r="P54" s="1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0" ht="12.75">
      <c r="B55" s="9"/>
      <c r="C55" s="9"/>
      <c r="D55" s="9"/>
      <c r="E55" s="9"/>
      <c r="F55" s="9"/>
      <c r="G55" s="9"/>
      <c r="H55" s="9"/>
      <c r="I55" s="9"/>
      <c r="J55" s="17"/>
      <c r="K55" s="17"/>
      <c r="L55" s="17"/>
      <c r="M55" s="17"/>
      <c r="N55" s="56"/>
      <c r="O55" s="9"/>
      <c r="P55" s="10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 ht="12.75">
      <c r="B56" s="9"/>
      <c r="C56" s="9"/>
      <c r="D56" s="9"/>
      <c r="E56" s="9"/>
      <c r="F56" s="9"/>
      <c r="G56" s="9"/>
      <c r="H56" s="9"/>
      <c r="I56" s="9"/>
      <c r="J56" s="17"/>
      <c r="K56" s="17"/>
      <c r="L56" s="17"/>
      <c r="M56" s="17"/>
      <c r="N56" s="56"/>
      <c r="O56" s="9"/>
      <c r="P56" s="1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 ht="12.75">
      <c r="B57" s="9"/>
      <c r="C57" s="9"/>
      <c r="D57" s="9"/>
      <c r="E57" s="9"/>
      <c r="F57" s="9"/>
      <c r="G57" s="9"/>
      <c r="H57" s="9"/>
      <c r="I57" s="9"/>
      <c r="J57" s="17"/>
      <c r="K57" s="17"/>
      <c r="L57" s="17"/>
      <c r="M57" s="17"/>
      <c r="N57" s="9"/>
      <c r="O57" s="9"/>
      <c r="P57" s="1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 ht="12.75">
      <c r="B58" s="9"/>
      <c r="C58" s="9"/>
      <c r="D58" s="9"/>
      <c r="E58" s="9"/>
      <c r="F58" s="9"/>
      <c r="G58" s="9"/>
      <c r="H58" s="9"/>
      <c r="I58" s="9"/>
      <c r="J58" s="17"/>
      <c r="K58" s="17"/>
      <c r="L58" s="17"/>
      <c r="M58" s="17"/>
      <c r="N58" s="9"/>
      <c r="O58" s="9"/>
      <c r="P58" s="1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 ht="12.75">
      <c r="B59" s="9"/>
      <c r="C59" s="9"/>
      <c r="D59" s="9"/>
      <c r="E59" s="9"/>
      <c r="F59" s="9"/>
      <c r="G59" s="9"/>
      <c r="H59" s="9"/>
      <c r="I59" s="9"/>
      <c r="J59" s="17"/>
      <c r="K59" s="17"/>
      <c r="L59" s="17"/>
      <c r="M59" s="17"/>
      <c r="N59" s="9"/>
      <c r="O59" s="9"/>
      <c r="P59" s="1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 ht="12.75">
      <c r="B60" s="9"/>
      <c r="C60" s="9"/>
      <c r="D60" s="9"/>
      <c r="E60" s="9"/>
      <c r="F60" s="9"/>
      <c r="G60" s="9"/>
      <c r="H60" s="9"/>
      <c r="I60" s="9"/>
      <c r="J60" s="17"/>
      <c r="K60" s="17"/>
      <c r="L60" s="17"/>
      <c r="M60" s="17"/>
      <c r="N60" s="9"/>
      <c r="O60" s="9"/>
      <c r="P60" s="1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ht="12.75">
      <c r="B61" s="9"/>
      <c r="C61" s="9"/>
      <c r="D61" s="9"/>
      <c r="E61" s="9"/>
      <c r="F61" s="9"/>
      <c r="G61" s="9"/>
      <c r="H61" s="9"/>
      <c r="I61" s="9"/>
      <c r="J61" s="17"/>
      <c r="K61" s="17"/>
      <c r="L61" s="17"/>
      <c r="M61" s="17"/>
      <c r="N61" s="9"/>
      <c r="O61" s="9"/>
      <c r="P61" s="10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ht="12.75">
      <c r="B62" s="9"/>
      <c r="C62" s="9"/>
      <c r="D62" s="9"/>
      <c r="E62" s="9"/>
      <c r="F62" s="9"/>
      <c r="G62" s="9"/>
      <c r="H62" s="9"/>
      <c r="I62" s="9"/>
      <c r="J62" s="17"/>
      <c r="K62" s="17"/>
      <c r="L62" s="17"/>
      <c r="M62" s="17"/>
      <c r="N62" s="9"/>
      <c r="O62" s="9"/>
      <c r="P62" s="10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 ht="12.75">
      <c r="B63" s="9"/>
      <c r="C63" s="9"/>
      <c r="D63" s="9"/>
      <c r="E63" s="9"/>
      <c r="F63" s="9"/>
      <c r="G63" s="9"/>
      <c r="H63" s="9"/>
      <c r="I63" s="9"/>
      <c r="J63" s="17"/>
      <c r="K63" s="17"/>
      <c r="L63" s="17"/>
      <c r="M63" s="17"/>
      <c r="N63" s="9"/>
      <c r="O63" s="9"/>
      <c r="P63" s="1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ht="12.75">
      <c r="B64" s="9"/>
      <c r="C64" s="9"/>
      <c r="D64" s="9"/>
      <c r="E64" s="9"/>
      <c r="F64" s="9"/>
      <c r="G64" s="9"/>
      <c r="H64" s="9"/>
      <c r="I64" s="9"/>
      <c r="J64" s="17"/>
      <c r="K64" s="17"/>
      <c r="L64" s="17"/>
      <c r="M64" s="17"/>
      <c r="N64" s="9"/>
      <c r="O64" s="9"/>
      <c r="P64" s="1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2:30" ht="12.75">
      <c r="B65" s="9"/>
      <c r="C65" s="9"/>
      <c r="D65" s="9"/>
      <c r="E65" s="9"/>
      <c r="F65" s="9"/>
      <c r="G65" s="9"/>
      <c r="H65" s="9"/>
      <c r="I65" s="9"/>
      <c r="J65" s="17"/>
      <c r="K65" s="17"/>
      <c r="L65" s="17"/>
      <c r="M65" s="17"/>
      <c r="N65" s="9"/>
      <c r="O65" s="9"/>
      <c r="P65" s="10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ht="12.75">
      <c r="B66" s="9"/>
      <c r="C66" s="9"/>
      <c r="D66" s="9"/>
      <c r="E66" s="9"/>
      <c r="F66" s="9"/>
      <c r="G66" s="9"/>
      <c r="H66" s="9"/>
      <c r="I66" s="9"/>
      <c r="J66" s="17"/>
      <c r="K66" s="17"/>
      <c r="L66" s="17"/>
      <c r="M66" s="17"/>
      <c r="N66" s="9"/>
      <c r="O66" s="9"/>
      <c r="P66" s="10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ht="12.75">
      <c r="B67" s="9"/>
      <c r="C67" s="9"/>
      <c r="D67" s="9"/>
      <c r="E67" s="9"/>
      <c r="F67" s="9"/>
      <c r="G67" s="9"/>
      <c r="H67" s="9"/>
      <c r="I67" s="9"/>
      <c r="J67" s="17"/>
      <c r="K67" s="17"/>
      <c r="L67" s="17"/>
      <c r="M67" s="17"/>
      <c r="N67" s="9"/>
      <c r="O67" s="9"/>
      <c r="P67" s="10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2:30" ht="12.75">
      <c r="B68" s="9"/>
      <c r="C68" s="9"/>
      <c r="D68" s="9"/>
      <c r="E68" s="9"/>
      <c r="F68" s="9"/>
      <c r="G68" s="9"/>
      <c r="H68" s="9"/>
      <c r="I68" s="9"/>
      <c r="J68" s="17"/>
      <c r="K68" s="17"/>
      <c r="L68" s="17"/>
      <c r="M68" s="17"/>
      <c r="N68" s="9"/>
      <c r="O68" s="9"/>
      <c r="P68" s="10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2:30" ht="12.75">
      <c r="B69" s="9"/>
      <c r="C69" s="9"/>
      <c r="D69" s="9"/>
      <c r="E69" s="9"/>
      <c r="F69" s="9"/>
      <c r="G69" s="9"/>
      <c r="H69" s="9"/>
      <c r="I69" s="9"/>
      <c r="J69" s="17"/>
      <c r="K69" s="17"/>
      <c r="L69" s="17"/>
      <c r="M69" s="17"/>
      <c r="N69" s="9"/>
      <c r="O69" s="9"/>
      <c r="P69" s="10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2:30" ht="12.75">
      <c r="B70" s="9"/>
      <c r="C70" s="9"/>
      <c r="D70" s="9"/>
      <c r="E70" s="9"/>
      <c r="F70" s="9"/>
      <c r="G70" s="9"/>
      <c r="H70" s="9"/>
      <c r="I70" s="9"/>
      <c r="J70" s="17"/>
      <c r="K70" s="17"/>
      <c r="L70" s="17"/>
      <c r="M70" s="17"/>
      <c r="N70" s="9"/>
      <c r="O70" s="9"/>
      <c r="P70" s="10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2:30" ht="12.75">
      <c r="B71" s="9"/>
      <c r="C71" s="9"/>
      <c r="D71" s="9"/>
      <c r="E71" s="9"/>
      <c r="F71" s="9"/>
      <c r="G71" s="9"/>
      <c r="H71" s="9"/>
      <c r="I71" s="9"/>
      <c r="J71" s="17"/>
      <c r="K71" s="17"/>
      <c r="L71" s="17"/>
      <c r="M71" s="17"/>
      <c r="N71" s="9"/>
      <c r="O71" s="9"/>
      <c r="P71" s="10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2:30" ht="12.75">
      <c r="B72" s="9"/>
      <c r="C72" s="9"/>
      <c r="D72" s="9"/>
      <c r="E72" s="9"/>
      <c r="F72" s="9"/>
      <c r="G72" s="9"/>
      <c r="H72" s="9"/>
      <c r="I72" s="9"/>
      <c r="J72" s="17"/>
      <c r="K72" s="17"/>
      <c r="L72" s="17"/>
      <c r="M72" s="17"/>
      <c r="N72" s="9"/>
      <c r="O72" s="9"/>
      <c r="P72" s="10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0" ht="12.75">
      <c r="B73" s="9"/>
      <c r="C73" s="9"/>
      <c r="D73" s="9"/>
      <c r="E73" s="9"/>
      <c r="F73" s="9"/>
      <c r="G73" s="9"/>
      <c r="H73" s="9"/>
      <c r="I73" s="9"/>
      <c r="J73" s="17"/>
      <c r="K73" s="17"/>
      <c r="L73" s="17"/>
      <c r="M73" s="17"/>
      <c r="N73" s="9"/>
      <c r="O73" s="9"/>
      <c r="P73" s="1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0" ht="12.75">
      <c r="B74" s="9"/>
      <c r="C74" s="9"/>
      <c r="D74" s="9"/>
      <c r="E74" s="9"/>
      <c r="F74" s="9"/>
      <c r="G74" s="9"/>
      <c r="H74" s="9"/>
      <c r="I74" s="9"/>
      <c r="J74" s="17"/>
      <c r="K74" s="17"/>
      <c r="L74" s="17"/>
      <c r="M74" s="17"/>
      <c r="N74" s="9"/>
      <c r="O74" s="9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0" ht="12.75">
      <c r="B75" s="9"/>
      <c r="C75" s="9"/>
      <c r="D75" s="9"/>
      <c r="E75" s="9"/>
      <c r="F75" s="9"/>
      <c r="G75" s="9"/>
      <c r="H75" s="9"/>
      <c r="I75" s="9"/>
      <c r="J75" s="17"/>
      <c r="K75" s="17"/>
      <c r="L75" s="17"/>
      <c r="M75" s="17"/>
      <c r="N75" s="9"/>
      <c r="O75" s="9"/>
      <c r="P75" s="1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0" ht="12.75">
      <c r="B76" s="9"/>
      <c r="C76" s="9"/>
      <c r="D76" s="9"/>
      <c r="E76" s="9"/>
      <c r="F76" s="9"/>
      <c r="G76" s="9"/>
      <c r="H76" s="9"/>
      <c r="I76" s="9"/>
      <c r="J76" s="17"/>
      <c r="K76" s="17"/>
      <c r="L76" s="17"/>
      <c r="M76" s="17"/>
      <c r="N76" s="9"/>
      <c r="O76" s="9"/>
      <c r="P76" s="10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0" ht="12.75">
      <c r="B77" s="9"/>
      <c r="C77" s="9"/>
      <c r="D77" s="9"/>
      <c r="E77" s="9"/>
      <c r="F77" s="9"/>
      <c r="G77" s="9"/>
      <c r="H77" s="9"/>
      <c r="I77" s="9"/>
      <c r="J77" s="17"/>
      <c r="K77" s="17"/>
      <c r="L77" s="17"/>
      <c r="M77" s="17"/>
      <c r="N77" s="9"/>
      <c r="O77" s="9"/>
      <c r="P77" s="10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0" ht="12.75">
      <c r="B78" s="9"/>
      <c r="C78" s="9"/>
      <c r="D78" s="9"/>
      <c r="E78" s="9"/>
      <c r="F78" s="9"/>
      <c r="G78" s="9"/>
      <c r="H78" s="9"/>
      <c r="I78" s="9"/>
      <c r="J78" s="17"/>
      <c r="K78" s="17"/>
      <c r="L78" s="17"/>
      <c r="M78" s="17"/>
      <c r="N78" s="9"/>
      <c r="O78" s="9"/>
      <c r="P78" s="10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2:30" ht="12.75">
      <c r="B79" s="9"/>
      <c r="C79" s="9"/>
      <c r="D79" s="9"/>
      <c r="E79" s="9"/>
      <c r="F79" s="9"/>
      <c r="G79" s="9"/>
      <c r="H79" s="9"/>
      <c r="I79" s="9"/>
      <c r="J79" s="17"/>
      <c r="K79" s="17"/>
      <c r="L79" s="17"/>
      <c r="M79" s="17"/>
      <c r="N79" s="9"/>
      <c r="O79" s="9"/>
      <c r="P79" s="10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0" ht="12.75">
      <c r="B80" s="9"/>
      <c r="C80" s="9"/>
      <c r="D80" s="9"/>
      <c r="E80" s="9"/>
      <c r="F80" s="9"/>
      <c r="G80" s="9"/>
      <c r="H80" s="9"/>
      <c r="I80" s="9"/>
      <c r="J80" s="17"/>
      <c r="K80" s="17"/>
      <c r="L80" s="17"/>
      <c r="M80" s="17"/>
      <c r="N80" s="9"/>
      <c r="O80" s="9"/>
      <c r="P80" s="10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2:30" ht="12.75">
      <c r="B81" s="9"/>
      <c r="C81" s="9"/>
      <c r="D81" s="9"/>
      <c r="E81" s="9"/>
      <c r="F81" s="9"/>
      <c r="G81" s="9"/>
      <c r="H81" s="9"/>
      <c r="I81" s="9"/>
      <c r="J81" s="17"/>
      <c r="K81" s="17"/>
      <c r="L81" s="17"/>
      <c r="M81" s="17"/>
      <c r="N81" s="9"/>
      <c r="O81" s="9"/>
      <c r="P81" s="10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2:30" ht="12.75">
      <c r="B82" s="9"/>
      <c r="C82" s="9"/>
      <c r="D82" s="9"/>
      <c r="E82" s="9"/>
      <c r="F82" s="9"/>
      <c r="G82" s="9"/>
      <c r="H82" s="9"/>
      <c r="I82" s="9"/>
      <c r="J82" s="17"/>
      <c r="K82" s="17"/>
      <c r="L82" s="17"/>
      <c r="M82" s="17"/>
      <c r="N82" s="9"/>
      <c r="O82" s="9"/>
      <c r="P82" s="10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2:30" ht="12.75">
      <c r="B83" s="9"/>
      <c r="C83" s="9"/>
      <c r="D83" s="9"/>
      <c r="E83" s="9"/>
      <c r="F83" s="9"/>
      <c r="G83" s="9"/>
      <c r="H83" s="9"/>
      <c r="I83" s="9"/>
      <c r="J83" s="17"/>
      <c r="K83" s="17"/>
      <c r="L83" s="17"/>
      <c r="M83" s="17"/>
      <c r="N83" s="9"/>
      <c r="O83" s="9"/>
      <c r="P83" s="10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2:30" ht="12.75">
      <c r="B84" s="9"/>
      <c r="C84" s="9"/>
      <c r="D84" s="9"/>
      <c r="E84" s="9"/>
      <c r="F84" s="9"/>
      <c r="G84" s="9"/>
      <c r="H84" s="9"/>
      <c r="I84" s="9"/>
      <c r="J84" s="17"/>
      <c r="K84" s="17"/>
      <c r="L84" s="17"/>
      <c r="M84" s="17"/>
      <c r="N84" s="9"/>
      <c r="O84" s="9"/>
      <c r="P84" s="10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2:30" ht="12.75">
      <c r="B85" s="9"/>
      <c r="C85" s="9"/>
      <c r="D85" s="9"/>
      <c r="E85" s="9"/>
      <c r="F85" s="9"/>
      <c r="G85" s="9"/>
      <c r="H85" s="9"/>
      <c r="I85" s="9"/>
      <c r="J85" s="17"/>
      <c r="K85" s="17"/>
      <c r="L85" s="17"/>
      <c r="M85" s="17"/>
      <c r="N85" s="9"/>
      <c r="O85" s="9"/>
      <c r="P85" s="10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2:30" ht="12.75">
      <c r="B86" s="9"/>
      <c r="C86" s="9"/>
      <c r="D86" s="9"/>
      <c r="E86" s="9"/>
      <c r="F86" s="9"/>
      <c r="G86" s="9"/>
      <c r="H86" s="9"/>
      <c r="I86" s="9"/>
      <c r="J86" s="17"/>
      <c r="K86" s="17"/>
      <c r="L86" s="17"/>
      <c r="M86" s="17"/>
      <c r="N86" s="9"/>
      <c r="O86" s="9"/>
      <c r="P86" s="10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2:30" ht="12.75">
      <c r="B87" s="9"/>
      <c r="C87" s="9"/>
      <c r="D87" s="9"/>
      <c r="E87" s="9"/>
      <c r="F87" s="9"/>
      <c r="G87" s="9"/>
      <c r="H87" s="9"/>
      <c r="I87" s="9"/>
      <c r="J87" s="17"/>
      <c r="K87" s="17"/>
      <c r="L87" s="17"/>
      <c r="M87" s="17"/>
      <c r="N87" s="9"/>
      <c r="O87" s="9"/>
      <c r="P87" s="10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2:30" ht="12.75">
      <c r="B88" s="9"/>
      <c r="C88" s="9"/>
      <c r="D88" s="9"/>
      <c r="E88" s="9"/>
      <c r="F88" s="9"/>
      <c r="G88" s="9"/>
      <c r="H88" s="9"/>
      <c r="I88" s="9"/>
      <c r="J88" s="17"/>
      <c r="K88" s="17"/>
      <c r="L88" s="17"/>
      <c r="M88" s="17"/>
      <c r="N88" s="9"/>
      <c r="O88" s="9"/>
      <c r="P88" s="10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2:30" ht="12.75">
      <c r="B89" s="9"/>
      <c r="C89" s="9"/>
      <c r="D89" s="9"/>
      <c r="E89" s="9"/>
      <c r="F89" s="9"/>
      <c r="G89" s="9"/>
      <c r="H89" s="9"/>
      <c r="I89" s="9"/>
      <c r="J89" s="17"/>
      <c r="K89" s="17"/>
      <c r="L89" s="17"/>
      <c r="M89" s="17"/>
      <c r="N89" s="9"/>
      <c r="O89" s="9"/>
      <c r="P89" s="10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2:30" ht="12.75">
      <c r="B90" s="9"/>
      <c r="C90" s="9"/>
      <c r="D90" s="9"/>
      <c r="E90" s="9"/>
      <c r="F90" s="9"/>
      <c r="G90" s="9"/>
      <c r="H90" s="9"/>
      <c r="I90" s="9"/>
      <c r="J90" s="17"/>
      <c r="K90" s="17"/>
      <c r="L90" s="17"/>
      <c r="M90" s="17"/>
      <c r="N90" s="9"/>
      <c r="O90" s="9"/>
      <c r="P90" s="1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2:30" ht="12.75">
      <c r="B91" s="9"/>
      <c r="C91" s="9"/>
      <c r="D91" s="9"/>
      <c r="E91" s="9"/>
      <c r="F91" s="9"/>
      <c r="G91" s="9"/>
      <c r="H91" s="9"/>
      <c r="I91" s="9"/>
      <c r="J91" s="17"/>
      <c r="K91" s="17"/>
      <c r="L91" s="17"/>
      <c r="M91" s="17"/>
      <c r="N91" s="9"/>
      <c r="O91" s="9"/>
      <c r="P91" s="10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2:30" ht="12.75">
      <c r="B92" s="9"/>
      <c r="C92" s="9"/>
      <c r="D92" s="9"/>
      <c r="E92" s="9"/>
      <c r="F92" s="9"/>
      <c r="G92" s="9"/>
      <c r="H92" s="9"/>
      <c r="I92" s="9"/>
      <c r="J92" s="17"/>
      <c r="K92" s="17"/>
      <c r="L92" s="17"/>
      <c r="M92" s="17"/>
      <c r="N92" s="9"/>
      <c r="O92" s="9"/>
      <c r="P92" s="10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2:30" ht="12.75">
      <c r="B93" s="9"/>
      <c r="C93" s="9"/>
      <c r="D93" s="9"/>
      <c r="E93" s="9"/>
      <c r="F93" s="9"/>
      <c r="G93" s="9"/>
      <c r="H93" s="9"/>
      <c r="I93" s="9"/>
      <c r="J93" s="17"/>
      <c r="K93" s="17"/>
      <c r="L93" s="17"/>
      <c r="M93" s="17"/>
      <c r="N93" s="9"/>
      <c r="O93" s="9"/>
      <c r="P93" s="10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2:30" ht="12.75">
      <c r="B94" s="9"/>
      <c r="C94" s="9"/>
      <c r="D94" s="9"/>
      <c r="E94" s="9"/>
      <c r="F94" s="9"/>
      <c r="G94" s="9"/>
      <c r="H94" s="9"/>
      <c r="I94" s="9"/>
      <c r="J94" s="17"/>
      <c r="K94" s="17"/>
      <c r="L94" s="17"/>
      <c r="M94" s="17"/>
      <c r="N94" s="9"/>
      <c r="O94" s="9"/>
      <c r="P94" s="10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30" ht="12.75">
      <c r="B95" s="9"/>
      <c r="C95" s="9"/>
      <c r="D95" s="9"/>
      <c r="E95" s="9"/>
      <c r="F95" s="9"/>
      <c r="G95" s="9"/>
      <c r="H95" s="9"/>
      <c r="I95" s="9"/>
      <c r="J95" s="17"/>
      <c r="K95" s="17"/>
      <c r="L95" s="17"/>
      <c r="M95" s="17"/>
      <c r="N95" s="9"/>
      <c r="O95" s="9"/>
      <c r="P95" s="10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2:30" ht="12.75">
      <c r="B96" s="9"/>
      <c r="C96" s="9"/>
      <c r="D96" s="9"/>
      <c r="E96" s="9"/>
      <c r="F96" s="9"/>
      <c r="G96" s="9"/>
      <c r="H96" s="9"/>
      <c r="I96" s="9"/>
      <c r="J96" s="17"/>
      <c r="K96" s="17"/>
      <c r="L96" s="17"/>
      <c r="M96" s="17"/>
      <c r="N96" s="9"/>
      <c r="O96" s="9"/>
      <c r="P96" s="10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2:30" ht="12.75">
      <c r="B97" s="9"/>
      <c r="C97" s="9"/>
      <c r="D97" s="9"/>
      <c r="E97" s="9"/>
      <c r="F97" s="9"/>
      <c r="G97" s="9"/>
      <c r="H97" s="9"/>
      <c r="I97" s="9"/>
      <c r="J97" s="17"/>
      <c r="K97" s="17"/>
      <c r="L97" s="17"/>
      <c r="M97" s="17"/>
      <c r="N97" s="9"/>
      <c r="O97" s="9"/>
      <c r="P97" s="10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2:30" ht="12.75">
      <c r="B98" s="9"/>
      <c r="C98" s="9"/>
      <c r="D98" s="9"/>
      <c r="E98" s="9"/>
      <c r="F98" s="9"/>
      <c r="G98" s="9"/>
      <c r="H98" s="9"/>
      <c r="I98" s="9"/>
      <c r="J98" s="17"/>
      <c r="K98" s="17"/>
      <c r="L98" s="17"/>
      <c r="M98" s="17"/>
      <c r="N98" s="9"/>
      <c r="O98" s="9"/>
      <c r="P98" s="10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2:30" ht="12.75">
      <c r="B99" s="9"/>
      <c r="C99" s="9"/>
      <c r="D99" s="9"/>
      <c r="E99" s="9"/>
      <c r="F99" s="9"/>
      <c r="G99" s="9"/>
      <c r="H99" s="9"/>
      <c r="I99" s="9"/>
      <c r="J99" s="17"/>
      <c r="K99" s="17"/>
      <c r="L99" s="17"/>
      <c r="M99" s="17"/>
      <c r="N99" s="9"/>
      <c r="O99" s="9"/>
      <c r="P99" s="10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30" ht="12.75">
      <c r="B100" s="9"/>
      <c r="C100" s="9"/>
      <c r="D100" s="9"/>
      <c r="E100" s="9"/>
      <c r="F100" s="9"/>
      <c r="G100" s="9"/>
      <c r="H100" s="9"/>
      <c r="I100" s="9"/>
      <c r="J100" s="17"/>
      <c r="K100" s="17"/>
      <c r="L100" s="17"/>
      <c r="M100" s="17"/>
      <c r="N100" s="9"/>
      <c r="O100" s="9"/>
      <c r="P100" s="1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2:30" ht="12.75">
      <c r="B101" s="9"/>
      <c r="C101" s="9"/>
      <c r="D101" s="9"/>
      <c r="E101" s="9"/>
      <c r="F101" s="9"/>
      <c r="G101" s="9"/>
      <c r="H101" s="9"/>
      <c r="I101" s="9"/>
      <c r="J101" s="17"/>
      <c r="K101" s="17"/>
      <c r="L101" s="17"/>
      <c r="M101" s="17"/>
      <c r="N101" s="9"/>
      <c r="O101" s="9"/>
      <c r="P101" s="1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2:30" ht="12.75">
      <c r="B102" s="9"/>
      <c r="C102" s="9"/>
      <c r="D102" s="9"/>
      <c r="E102" s="9"/>
      <c r="F102" s="9"/>
      <c r="G102" s="9"/>
      <c r="H102" s="9"/>
      <c r="I102" s="9"/>
      <c r="J102" s="17"/>
      <c r="K102" s="17"/>
      <c r="L102" s="17"/>
      <c r="M102" s="17"/>
      <c r="N102" s="9"/>
      <c r="O102" s="9"/>
      <c r="P102" s="1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2:30" ht="12.75">
      <c r="B103" s="9"/>
      <c r="C103" s="9"/>
      <c r="D103" s="9"/>
      <c r="E103" s="9"/>
      <c r="F103" s="9"/>
      <c r="G103" s="9"/>
      <c r="H103" s="9"/>
      <c r="I103" s="9"/>
      <c r="J103" s="17"/>
      <c r="K103" s="17"/>
      <c r="L103" s="17"/>
      <c r="M103" s="17"/>
      <c r="N103" s="9"/>
      <c r="O103" s="9"/>
      <c r="P103" s="10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2:30" ht="12.75">
      <c r="B104" s="9"/>
      <c r="C104" s="9"/>
      <c r="D104" s="9"/>
      <c r="E104" s="9"/>
      <c r="F104" s="9"/>
      <c r="G104" s="9"/>
      <c r="H104" s="9"/>
      <c r="I104" s="9"/>
      <c r="J104" s="17"/>
      <c r="K104" s="17"/>
      <c r="L104" s="17"/>
      <c r="M104" s="17"/>
      <c r="N104" s="9"/>
      <c r="O104" s="9"/>
      <c r="P104" s="1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2:30" ht="12.75">
      <c r="B105" s="9"/>
      <c r="C105" s="9"/>
      <c r="D105" s="9"/>
      <c r="E105" s="9"/>
      <c r="F105" s="9"/>
      <c r="G105" s="9"/>
      <c r="H105" s="9"/>
      <c r="I105" s="9"/>
      <c r="J105" s="17"/>
      <c r="K105" s="17"/>
      <c r="L105" s="17"/>
      <c r="M105" s="17"/>
      <c r="N105" s="9"/>
      <c r="O105" s="9"/>
      <c r="P105" s="10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2:30" ht="12.75">
      <c r="B106" s="9"/>
      <c r="C106" s="9"/>
      <c r="D106" s="9"/>
      <c r="E106" s="9"/>
      <c r="F106" s="9"/>
      <c r="G106" s="9"/>
      <c r="H106" s="9"/>
      <c r="I106" s="9"/>
      <c r="J106" s="17"/>
      <c r="K106" s="17"/>
      <c r="L106" s="17"/>
      <c r="M106" s="17"/>
      <c r="N106" s="9"/>
      <c r="O106" s="9"/>
      <c r="P106" s="1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2:30" ht="12.75">
      <c r="B107" s="9"/>
      <c r="C107" s="9"/>
      <c r="D107" s="9"/>
      <c r="E107" s="9"/>
      <c r="F107" s="9"/>
      <c r="G107" s="9"/>
      <c r="H107" s="9"/>
      <c r="I107" s="9"/>
      <c r="J107" s="17"/>
      <c r="K107" s="17"/>
      <c r="L107" s="17"/>
      <c r="M107" s="17"/>
      <c r="N107" s="9"/>
      <c r="O107" s="9"/>
      <c r="P107" s="1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2:30" ht="12.75">
      <c r="B108" s="9"/>
      <c r="C108" s="9"/>
      <c r="D108" s="9"/>
      <c r="E108" s="9"/>
      <c r="F108" s="9"/>
      <c r="G108" s="9"/>
      <c r="H108" s="9"/>
      <c r="I108" s="9"/>
      <c r="J108" s="17"/>
      <c r="K108" s="17"/>
      <c r="L108" s="17"/>
      <c r="M108" s="17"/>
      <c r="N108" s="9"/>
      <c r="O108" s="9"/>
      <c r="P108" s="1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2:30" ht="12.75">
      <c r="B109" s="9"/>
      <c r="C109" s="9"/>
      <c r="D109" s="9"/>
      <c r="E109" s="9"/>
      <c r="F109" s="9"/>
      <c r="G109" s="9"/>
      <c r="H109" s="9"/>
      <c r="I109" s="9"/>
      <c r="J109" s="17"/>
      <c r="K109" s="17"/>
      <c r="L109" s="17"/>
      <c r="M109" s="17"/>
      <c r="N109" s="9"/>
      <c r="O109" s="9"/>
      <c r="P109" s="1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</sheetData>
  <printOptions horizontalCentered="1"/>
  <pageMargins left="0.03937007874015748" right="0" top="0.3937007874015748" bottom="0" header="0.11811023622047245" footer="0.11811023622047245"/>
  <pageSetup horizontalDpi="300" verticalDpi="300" orientation="landscape" paperSize="9" scale="92" r:id="rId1"/>
  <headerFooter alignWithMargins="0">
    <oddHeader>&amp;R&amp;"Arial,Bold"&amp;UAppendix  1 (a)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E628"/>
  <sheetViews>
    <sheetView tabSelected="1" zoomScaleSheetLayoutView="41" workbookViewId="0" topLeftCell="A1">
      <pane xSplit="7" ySplit="4" topLeftCell="Q304" activePane="bottomRight" state="frozen"/>
      <selection pane="topLeft" activeCell="C1" sqref="C1"/>
      <selection pane="topRight" activeCell="H1" sqref="H1"/>
      <selection pane="bottomLeft" activeCell="C5" sqref="C5"/>
      <selection pane="bottomRight" activeCell="S307" sqref="S307"/>
    </sheetView>
  </sheetViews>
  <sheetFormatPr defaultColWidth="6.7109375" defaultRowHeight="12.75"/>
  <cols>
    <col min="1" max="1" width="6.7109375" style="98" hidden="1" customWidth="1"/>
    <col min="2" max="2" width="2.8515625" style="88" hidden="1" customWidth="1"/>
    <col min="3" max="3" width="49.421875" style="93" customWidth="1"/>
    <col min="4" max="4" width="14.8515625" style="93" hidden="1" customWidth="1"/>
    <col min="5" max="5" width="1.421875" style="93" hidden="1" customWidth="1"/>
    <col min="6" max="6" width="10.8515625" style="93" customWidth="1"/>
    <col min="7" max="7" width="2.140625" style="93" customWidth="1"/>
    <col min="8" max="8" width="7.28125" style="5" customWidth="1"/>
    <col min="9" max="9" width="8.421875" style="93" customWidth="1"/>
    <col min="10" max="10" width="7.28125" style="93" customWidth="1"/>
    <col min="11" max="11" width="7.28125" style="246" customWidth="1"/>
    <col min="12" max="16" width="7.28125" style="93" customWidth="1"/>
    <col min="17" max="17" width="7.140625" style="88" customWidth="1"/>
    <col min="18" max="19" width="7.28125" style="88" customWidth="1"/>
    <col min="20" max="20" width="8.28125" style="93" customWidth="1"/>
    <col min="21" max="21" width="7.8515625" style="93" customWidth="1"/>
    <col min="22" max="22" width="7.28125" style="93" customWidth="1"/>
    <col min="23" max="23" width="7.28125" style="88" customWidth="1"/>
    <col min="24" max="24" width="7.140625" style="88" customWidth="1"/>
    <col min="25" max="25" width="1.1484375" style="88" customWidth="1"/>
    <col min="26" max="26" width="10.8515625" style="170" customWidth="1"/>
    <col min="27" max="27" width="10.7109375" style="170" customWidth="1"/>
    <col min="28" max="38" width="10.7109375" style="88" customWidth="1"/>
    <col min="39" max="40" width="10.7109375" style="98" customWidth="1"/>
    <col min="41" max="41" width="21.140625" style="98" customWidth="1"/>
    <col min="42" max="56" width="10.7109375" style="98" customWidth="1"/>
    <col min="57" max="57" width="51.140625" style="98" customWidth="1"/>
    <col min="58" max="78" width="10.7109375" style="98" customWidth="1"/>
    <col min="79" max="16384" width="1.8515625" style="98" customWidth="1"/>
  </cols>
  <sheetData>
    <row r="1" spans="11:30" ht="9" customHeight="1">
      <c r="K1" s="93"/>
      <c r="AD1" s="88" t="s">
        <v>505</v>
      </c>
    </row>
    <row r="2" ht="6" customHeight="1" thickBot="1">
      <c r="K2" s="248"/>
    </row>
    <row r="3" spans="3:27" ht="13.5" customHeight="1">
      <c r="C3" s="83"/>
      <c r="D3" s="83"/>
      <c r="E3" s="99"/>
      <c r="F3" s="100"/>
      <c r="G3" s="100"/>
      <c r="H3" s="101" t="s">
        <v>65</v>
      </c>
      <c r="I3" s="102"/>
      <c r="J3" s="103"/>
      <c r="K3" s="104"/>
      <c r="L3" s="214"/>
      <c r="M3" s="104"/>
      <c r="N3" s="104"/>
      <c r="O3" s="104"/>
      <c r="P3" s="104"/>
      <c r="Q3" s="104"/>
      <c r="R3" s="104"/>
      <c r="S3" s="104"/>
      <c r="T3" s="225"/>
      <c r="U3" s="211"/>
      <c r="V3" s="226"/>
      <c r="W3" s="104"/>
      <c r="X3" s="104"/>
      <c r="Y3" s="105"/>
      <c r="Z3" s="242"/>
      <c r="AA3" s="286"/>
    </row>
    <row r="4" spans="3:57" ht="30.75" customHeight="1" thickBot="1">
      <c r="C4" s="85"/>
      <c r="D4" s="85"/>
      <c r="E4" s="106"/>
      <c r="F4" s="245" t="s">
        <v>240</v>
      </c>
      <c r="G4" s="86"/>
      <c r="H4" s="107" t="s">
        <v>66</v>
      </c>
      <c r="I4" s="108" t="s">
        <v>67</v>
      </c>
      <c r="J4" s="109" t="s">
        <v>68</v>
      </c>
      <c r="K4" s="110" t="s">
        <v>69</v>
      </c>
      <c r="L4" s="215" t="s">
        <v>70</v>
      </c>
      <c r="M4" s="110" t="s">
        <v>70</v>
      </c>
      <c r="N4" s="110" t="s">
        <v>68</v>
      </c>
      <c r="O4" s="110" t="s">
        <v>71</v>
      </c>
      <c r="P4" s="110" t="s">
        <v>72</v>
      </c>
      <c r="Q4" s="110" t="s">
        <v>73</v>
      </c>
      <c r="R4" s="110" t="s">
        <v>74</v>
      </c>
      <c r="S4" s="110" t="s">
        <v>70</v>
      </c>
      <c r="T4" s="227" t="s">
        <v>237</v>
      </c>
      <c r="U4" s="212" t="s">
        <v>238</v>
      </c>
      <c r="V4" s="228" t="s">
        <v>239</v>
      </c>
      <c r="W4" s="110" t="s">
        <v>75</v>
      </c>
      <c r="X4" s="110" t="s">
        <v>69</v>
      </c>
      <c r="Y4" s="86"/>
      <c r="Z4" s="111" t="s">
        <v>51</v>
      </c>
      <c r="AA4" s="287"/>
      <c r="AD4" s="294" t="s">
        <v>26</v>
      </c>
      <c r="AE4" s="294" t="s">
        <v>506</v>
      </c>
      <c r="AF4" s="294" t="s">
        <v>507</v>
      </c>
      <c r="AG4" s="295" t="s">
        <v>508</v>
      </c>
      <c r="AH4" s="294" t="s">
        <v>509</v>
      </c>
      <c r="AI4" s="294" t="s">
        <v>510</v>
      </c>
      <c r="AJ4" s="294" t="s">
        <v>511</v>
      </c>
      <c r="AK4" s="294" t="s">
        <v>512</v>
      </c>
      <c r="AL4" s="294" t="s">
        <v>513</v>
      </c>
      <c r="AM4" s="296" t="s">
        <v>514</v>
      </c>
      <c r="AN4" s="296" t="s">
        <v>125</v>
      </c>
      <c r="AP4" s="296" t="s">
        <v>515</v>
      </c>
      <c r="AQ4" s="296" t="s">
        <v>525</v>
      </c>
      <c r="AR4" s="296" t="s">
        <v>547</v>
      </c>
      <c r="AS4" s="296" t="s">
        <v>528</v>
      </c>
      <c r="AT4" s="296" t="s">
        <v>526</v>
      </c>
      <c r="AU4" s="296" t="s">
        <v>527</v>
      </c>
      <c r="AV4" s="296" t="s">
        <v>516</v>
      </c>
      <c r="AW4" s="296" t="s">
        <v>517</v>
      </c>
      <c r="AX4" s="296" t="s">
        <v>36</v>
      </c>
      <c r="AY4" s="296" t="s">
        <v>518</v>
      </c>
      <c r="AZ4" s="296" t="s">
        <v>519</v>
      </c>
      <c r="BA4" s="296" t="s">
        <v>490</v>
      </c>
      <c r="BB4" s="296" t="s">
        <v>520</v>
      </c>
      <c r="BC4" s="296" t="s">
        <v>541</v>
      </c>
      <c r="BD4" s="296" t="s">
        <v>521</v>
      </c>
      <c r="BE4" s="98" t="s">
        <v>522</v>
      </c>
    </row>
    <row r="5" spans="3:56" ht="12.75">
      <c r="C5" s="84"/>
      <c r="D5" s="83"/>
      <c r="E5" s="112"/>
      <c r="F5" s="113" t="s">
        <v>41</v>
      </c>
      <c r="G5" s="113"/>
      <c r="H5" s="114"/>
      <c r="I5" s="115"/>
      <c r="J5" s="116" t="s">
        <v>41</v>
      </c>
      <c r="K5" s="117" t="s">
        <v>41</v>
      </c>
      <c r="L5" s="216" t="s">
        <v>41</v>
      </c>
      <c r="M5" s="117" t="s">
        <v>41</v>
      </c>
      <c r="N5" s="117" t="s">
        <v>41</v>
      </c>
      <c r="O5" s="117" t="s">
        <v>41</v>
      </c>
      <c r="P5" s="117" t="s">
        <v>41</v>
      </c>
      <c r="Q5" s="117" t="s">
        <v>41</v>
      </c>
      <c r="R5" s="117" t="s">
        <v>41</v>
      </c>
      <c r="S5" s="117" t="s">
        <v>41</v>
      </c>
      <c r="T5" s="116"/>
      <c r="U5" s="117"/>
      <c r="V5" s="229"/>
      <c r="W5" s="117" t="s">
        <v>41</v>
      </c>
      <c r="X5" s="117" t="s">
        <v>41</v>
      </c>
      <c r="Y5" s="118"/>
      <c r="Z5" s="119" t="s">
        <v>41</v>
      </c>
      <c r="AA5" s="287"/>
      <c r="AD5" s="297" t="s">
        <v>41</v>
      </c>
      <c r="AE5" s="297" t="s">
        <v>41</v>
      </c>
      <c r="AF5" s="297" t="s">
        <v>41</v>
      </c>
      <c r="AG5" s="297" t="s">
        <v>41</v>
      </c>
      <c r="AH5" s="297" t="s">
        <v>41</v>
      </c>
      <c r="AI5" s="297" t="s">
        <v>41</v>
      </c>
      <c r="AJ5" s="297" t="s">
        <v>41</v>
      </c>
      <c r="AK5" s="297" t="s">
        <v>41</v>
      </c>
      <c r="AL5" s="297" t="s">
        <v>41</v>
      </c>
      <c r="AM5" s="300" t="s">
        <v>41</v>
      </c>
      <c r="AN5" s="297" t="s">
        <v>41</v>
      </c>
      <c r="AP5" s="98" t="s">
        <v>41</v>
      </c>
      <c r="AQ5" s="98" t="s">
        <v>41</v>
      </c>
      <c r="AR5" s="98" t="s">
        <v>41</v>
      </c>
      <c r="AS5" s="98" t="s">
        <v>41</v>
      </c>
      <c r="AT5" s="98" t="s">
        <v>41</v>
      </c>
      <c r="AU5" s="98" t="s">
        <v>41</v>
      </c>
      <c r="AV5" s="98" t="s">
        <v>41</v>
      </c>
      <c r="AW5" s="98" t="s">
        <v>41</v>
      </c>
      <c r="AX5" s="98" t="s">
        <v>41</v>
      </c>
      <c r="AY5" s="98" t="s">
        <v>41</v>
      </c>
      <c r="AZ5" s="98" t="s">
        <v>41</v>
      </c>
      <c r="BA5" s="98" t="s">
        <v>41</v>
      </c>
      <c r="BB5" s="98" t="s">
        <v>41</v>
      </c>
      <c r="BC5" s="98" t="s">
        <v>41</v>
      </c>
      <c r="BD5" s="98" t="s">
        <v>41</v>
      </c>
    </row>
    <row r="6" spans="3:56" ht="12.75">
      <c r="C6" s="87"/>
      <c r="D6" s="249"/>
      <c r="E6" s="120"/>
      <c r="F6" s="121"/>
      <c r="G6" s="122"/>
      <c r="H6" s="123"/>
      <c r="I6" s="124"/>
      <c r="J6" s="125"/>
      <c r="K6" s="126"/>
      <c r="L6" s="217"/>
      <c r="M6" s="126"/>
      <c r="N6" s="126"/>
      <c r="O6" s="126"/>
      <c r="P6" s="126"/>
      <c r="Q6" s="127"/>
      <c r="R6" s="127"/>
      <c r="S6" s="127"/>
      <c r="T6" s="125"/>
      <c r="U6" s="126"/>
      <c r="V6" s="230"/>
      <c r="W6" s="127"/>
      <c r="X6" s="127"/>
      <c r="Y6" s="128"/>
      <c r="Z6" s="168"/>
      <c r="AD6" s="298"/>
      <c r="AE6" s="298"/>
      <c r="AF6" s="298"/>
      <c r="AG6" s="298"/>
      <c r="AH6" s="298"/>
      <c r="AI6" s="298"/>
      <c r="AJ6" s="298"/>
      <c r="AK6" s="298"/>
      <c r="AL6" s="298"/>
      <c r="AM6" s="301"/>
      <c r="AN6" s="301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</row>
    <row r="7" spans="3:56" ht="12.75">
      <c r="C7" s="129" t="s">
        <v>15</v>
      </c>
      <c r="D7" s="250"/>
      <c r="E7" s="120"/>
      <c r="F7" s="122"/>
      <c r="G7" s="122"/>
      <c r="H7" s="123"/>
      <c r="I7" s="124"/>
      <c r="J7" s="125"/>
      <c r="K7" s="126"/>
      <c r="L7" s="217"/>
      <c r="M7" s="126"/>
      <c r="N7" s="126"/>
      <c r="O7" s="126"/>
      <c r="P7" s="126"/>
      <c r="Q7" s="127"/>
      <c r="R7" s="127"/>
      <c r="S7" s="127"/>
      <c r="T7" s="125"/>
      <c r="U7" s="126"/>
      <c r="V7" s="230"/>
      <c r="W7" s="127"/>
      <c r="X7" s="127"/>
      <c r="Y7" s="128"/>
      <c r="Z7" s="168"/>
      <c r="AD7" s="298"/>
      <c r="AE7" s="298"/>
      <c r="AF7" s="298"/>
      <c r="AG7" s="298"/>
      <c r="AH7" s="298"/>
      <c r="AI7" s="298"/>
      <c r="AJ7" s="298"/>
      <c r="AK7" s="298"/>
      <c r="AL7" s="298"/>
      <c r="AM7" s="301"/>
      <c r="AN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</row>
    <row r="8" spans="3:56" ht="12.75">
      <c r="C8" s="87"/>
      <c r="D8" s="249"/>
      <c r="E8" s="120"/>
      <c r="F8" s="122"/>
      <c r="G8" s="122"/>
      <c r="H8" s="123"/>
      <c r="I8" s="124"/>
      <c r="J8" s="125"/>
      <c r="K8" s="126"/>
      <c r="L8" s="217"/>
      <c r="M8" s="126"/>
      <c r="N8" s="126"/>
      <c r="O8" s="126"/>
      <c r="P8" s="126"/>
      <c r="Q8" s="127"/>
      <c r="R8" s="127"/>
      <c r="S8" s="127"/>
      <c r="T8" s="125"/>
      <c r="U8" s="126"/>
      <c r="V8" s="230"/>
      <c r="W8" s="127"/>
      <c r="X8" s="127"/>
      <c r="Y8" s="128"/>
      <c r="Z8" s="168"/>
      <c r="AD8" s="298"/>
      <c r="AE8" s="298"/>
      <c r="AF8" s="298"/>
      <c r="AG8" s="298"/>
      <c r="AH8" s="298"/>
      <c r="AI8" s="298"/>
      <c r="AJ8" s="298"/>
      <c r="AK8" s="298"/>
      <c r="AL8" s="298"/>
      <c r="AM8" s="301"/>
      <c r="AN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</row>
    <row r="9" spans="3:56" ht="12.75">
      <c r="C9" s="130" t="s">
        <v>76</v>
      </c>
      <c r="D9" s="251"/>
      <c r="E9" s="120"/>
      <c r="F9" s="122"/>
      <c r="G9" s="122"/>
      <c r="H9" s="123"/>
      <c r="I9" s="124"/>
      <c r="J9" s="125"/>
      <c r="K9" s="126"/>
      <c r="L9" s="217"/>
      <c r="M9" s="126"/>
      <c r="N9" s="126"/>
      <c r="O9" s="126"/>
      <c r="P9" s="126"/>
      <c r="Q9" s="127"/>
      <c r="R9" s="127"/>
      <c r="S9" s="127"/>
      <c r="T9" s="125"/>
      <c r="U9" s="126"/>
      <c r="V9" s="230"/>
      <c r="W9" s="127"/>
      <c r="X9" s="127"/>
      <c r="Y9" s="128"/>
      <c r="Z9" s="168"/>
      <c r="AD9" s="298"/>
      <c r="AE9" s="298"/>
      <c r="AF9" s="298"/>
      <c r="AG9" s="298"/>
      <c r="AH9" s="298"/>
      <c r="AI9" s="298"/>
      <c r="AJ9" s="298"/>
      <c r="AK9" s="298"/>
      <c r="AL9" s="298"/>
      <c r="AM9" s="301"/>
      <c r="AN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</row>
    <row r="10" spans="3:56" ht="12.75">
      <c r="C10" s="87" t="s">
        <v>78</v>
      </c>
      <c r="D10" s="249"/>
      <c r="E10" s="120"/>
      <c r="F10" s="122">
        <v>1.25</v>
      </c>
      <c r="G10" s="122"/>
      <c r="H10" s="123"/>
      <c r="I10" s="124"/>
      <c r="J10" s="125"/>
      <c r="K10" s="126">
        <v>0.015</v>
      </c>
      <c r="L10" s="217">
        <v>0.035</v>
      </c>
      <c r="M10" s="126">
        <v>0.05</v>
      </c>
      <c r="N10" s="126">
        <v>0.05</v>
      </c>
      <c r="O10" s="126">
        <v>0.1</v>
      </c>
      <c r="P10" s="126">
        <v>0.1</v>
      </c>
      <c r="Q10" s="126">
        <v>0.1</v>
      </c>
      <c r="R10" s="126">
        <v>0.1</v>
      </c>
      <c r="S10" s="126">
        <v>0.2</v>
      </c>
      <c r="T10" s="171">
        <f>SUM(J10:S10)</f>
        <v>0.75</v>
      </c>
      <c r="U10" s="131">
        <v>0.722</v>
      </c>
      <c r="V10" s="236">
        <f>T10-U10</f>
        <v>0.028000000000000025</v>
      </c>
      <c r="W10" s="126">
        <v>0.25</v>
      </c>
      <c r="X10" s="126">
        <v>0.25</v>
      </c>
      <c r="Y10" s="128"/>
      <c r="Z10" s="168">
        <f aca="true" t="shared" si="0" ref="Z10:Z34">T10+SUM(W10:X10)</f>
        <v>1.25</v>
      </c>
      <c r="AB10" s="88">
        <f>F10-Z10</f>
        <v>0</v>
      </c>
      <c r="AD10" s="298"/>
      <c r="AE10" s="298"/>
      <c r="AF10" s="298"/>
      <c r="AG10" s="298"/>
      <c r="AH10" s="298"/>
      <c r="AI10" s="298"/>
      <c r="AJ10" s="298">
        <f>SUM(AP10:BD10)</f>
        <v>0</v>
      </c>
      <c r="AK10" s="298"/>
      <c r="AL10" s="298"/>
      <c r="AM10" s="301"/>
      <c r="AN10" s="301">
        <f>SUM(AD10:AM10)</f>
        <v>0</v>
      </c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</row>
    <row r="11" spans="3:56" ht="12.75">
      <c r="C11" s="87" t="s">
        <v>79</v>
      </c>
      <c r="D11" s="249"/>
      <c r="E11" s="120"/>
      <c r="F11" s="122">
        <v>0.008</v>
      </c>
      <c r="G11" s="122"/>
      <c r="H11" s="123"/>
      <c r="I11" s="124"/>
      <c r="J11" s="125"/>
      <c r="K11" s="126">
        <v>0</v>
      </c>
      <c r="L11" s="217">
        <v>0</v>
      </c>
      <c r="M11" s="217">
        <v>0</v>
      </c>
      <c r="N11" s="126">
        <v>0.008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171">
        <f aca="true" t="shared" si="1" ref="T11:T33">SUM(J11:S11)</f>
        <v>0.008</v>
      </c>
      <c r="U11" s="131">
        <v>0.011</v>
      </c>
      <c r="V11" s="236">
        <f aca="true" t="shared" si="2" ref="V11:V33">T11-U11</f>
        <v>-0.002999999999999999</v>
      </c>
      <c r="W11" s="217">
        <v>0</v>
      </c>
      <c r="X11" s="217">
        <v>0</v>
      </c>
      <c r="Y11" s="128"/>
      <c r="Z11" s="168">
        <f t="shared" si="0"/>
        <v>0.008</v>
      </c>
      <c r="AB11" s="88">
        <f aca="true" t="shared" si="3" ref="AB11:AB75">F11-Z11</f>
        <v>0</v>
      </c>
      <c r="AD11" s="298"/>
      <c r="AE11" s="298"/>
      <c r="AF11" s="298"/>
      <c r="AG11" s="298"/>
      <c r="AH11" s="298"/>
      <c r="AI11" s="298"/>
      <c r="AJ11" s="298">
        <f aca="true" t="shared" si="4" ref="AJ11:AJ33">SUM(AP11:BD11)</f>
        <v>0</v>
      </c>
      <c r="AK11" s="298"/>
      <c r="AL11" s="298"/>
      <c r="AM11" s="301"/>
      <c r="AN11" s="301">
        <f aca="true" t="shared" si="5" ref="AN11:AN33">SUM(AD11:AM11)</f>
        <v>0</v>
      </c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</row>
    <row r="12" spans="3:56" ht="12.75">
      <c r="C12" s="87" t="s">
        <v>80</v>
      </c>
      <c r="D12" s="249"/>
      <c r="E12" s="120"/>
      <c r="F12" s="122">
        <v>0.02</v>
      </c>
      <c r="G12" s="122"/>
      <c r="H12" s="123"/>
      <c r="I12" s="124"/>
      <c r="J12" s="125"/>
      <c r="K12" s="126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126">
        <v>0.01</v>
      </c>
      <c r="R12" s="126">
        <v>0.01</v>
      </c>
      <c r="S12" s="217">
        <v>0</v>
      </c>
      <c r="T12" s="171">
        <f t="shared" si="1"/>
        <v>0.02</v>
      </c>
      <c r="U12" s="131">
        <v>0</v>
      </c>
      <c r="V12" s="236">
        <f t="shared" si="2"/>
        <v>0.02</v>
      </c>
      <c r="W12" s="217">
        <v>0</v>
      </c>
      <c r="X12" s="217">
        <v>0</v>
      </c>
      <c r="Y12" s="128"/>
      <c r="Z12" s="168">
        <f t="shared" si="0"/>
        <v>0.02</v>
      </c>
      <c r="AB12" s="88">
        <f t="shared" si="3"/>
        <v>0</v>
      </c>
      <c r="AD12" s="298"/>
      <c r="AE12" s="298"/>
      <c r="AF12" s="298"/>
      <c r="AG12" s="298"/>
      <c r="AH12" s="298"/>
      <c r="AI12" s="298"/>
      <c r="AJ12" s="298">
        <f t="shared" si="4"/>
        <v>0</v>
      </c>
      <c r="AK12" s="298"/>
      <c r="AL12" s="298"/>
      <c r="AM12" s="301"/>
      <c r="AN12" s="301">
        <f t="shared" si="5"/>
        <v>0</v>
      </c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</row>
    <row r="13" spans="3:56" ht="12.75">
      <c r="C13" s="87" t="s">
        <v>81</v>
      </c>
      <c r="D13" s="249"/>
      <c r="E13" s="120"/>
      <c r="F13" s="122">
        <v>0.5</v>
      </c>
      <c r="G13" s="122"/>
      <c r="H13" s="123"/>
      <c r="I13" s="124"/>
      <c r="J13" s="125"/>
      <c r="K13" s="126">
        <v>0.015</v>
      </c>
      <c r="L13" s="217">
        <v>0.025</v>
      </c>
      <c r="M13" s="126">
        <v>0.025</v>
      </c>
      <c r="N13" s="126">
        <v>0.025</v>
      </c>
      <c r="O13" s="126">
        <v>0.04</v>
      </c>
      <c r="P13" s="126">
        <v>0.05</v>
      </c>
      <c r="Q13" s="126">
        <v>0.05</v>
      </c>
      <c r="R13" s="126">
        <v>0.05</v>
      </c>
      <c r="S13" s="126">
        <v>0.05</v>
      </c>
      <c r="T13" s="171">
        <f t="shared" si="1"/>
        <v>0.32999999999999996</v>
      </c>
      <c r="U13" s="131">
        <v>0.229</v>
      </c>
      <c r="V13" s="236">
        <f t="shared" si="2"/>
        <v>0.10099999999999995</v>
      </c>
      <c r="W13" s="126">
        <v>0.05</v>
      </c>
      <c r="X13" s="126">
        <v>0.12</v>
      </c>
      <c r="Y13" s="128"/>
      <c r="Z13" s="168">
        <f t="shared" si="0"/>
        <v>0.49999999999999994</v>
      </c>
      <c r="AB13" s="88">
        <f t="shared" si="3"/>
        <v>0</v>
      </c>
      <c r="AD13" s="298"/>
      <c r="AE13" s="298"/>
      <c r="AF13" s="298"/>
      <c r="AG13" s="298"/>
      <c r="AH13" s="298"/>
      <c r="AI13" s="298"/>
      <c r="AJ13" s="298">
        <f t="shared" si="4"/>
        <v>0</v>
      </c>
      <c r="AK13" s="298"/>
      <c r="AL13" s="298"/>
      <c r="AM13" s="301"/>
      <c r="AN13" s="301">
        <f t="shared" si="5"/>
        <v>0</v>
      </c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</row>
    <row r="14" spans="3:56" ht="12.75">
      <c r="C14" s="87" t="s">
        <v>82</v>
      </c>
      <c r="D14" s="249"/>
      <c r="E14" s="120"/>
      <c r="F14" s="122">
        <v>0.15</v>
      </c>
      <c r="G14" s="122"/>
      <c r="H14" s="123"/>
      <c r="I14" s="124"/>
      <c r="J14" s="125"/>
      <c r="K14" s="126">
        <v>0.005</v>
      </c>
      <c r="L14" s="217">
        <v>0.01</v>
      </c>
      <c r="M14" s="126">
        <v>0.01</v>
      </c>
      <c r="N14" s="126">
        <v>0.01</v>
      </c>
      <c r="O14" s="126">
        <v>0.01</v>
      </c>
      <c r="P14" s="126">
        <v>0.025</v>
      </c>
      <c r="Q14" s="127">
        <v>0.025</v>
      </c>
      <c r="R14" s="127">
        <v>0.025</v>
      </c>
      <c r="S14" s="127">
        <v>0.025</v>
      </c>
      <c r="T14" s="171">
        <f t="shared" si="1"/>
        <v>0.145</v>
      </c>
      <c r="U14" s="131">
        <v>0.037</v>
      </c>
      <c r="V14" s="236">
        <f t="shared" si="2"/>
        <v>0.10799999999999998</v>
      </c>
      <c r="W14" s="127">
        <v>0.005</v>
      </c>
      <c r="X14" s="127"/>
      <c r="Y14" s="128"/>
      <c r="Z14" s="168">
        <f t="shared" si="0"/>
        <v>0.15</v>
      </c>
      <c r="AB14" s="88">
        <f t="shared" si="3"/>
        <v>0</v>
      </c>
      <c r="AD14" s="298"/>
      <c r="AE14" s="298"/>
      <c r="AF14" s="298"/>
      <c r="AG14" s="298"/>
      <c r="AH14" s="298"/>
      <c r="AI14" s="298"/>
      <c r="AJ14" s="298">
        <f t="shared" si="4"/>
        <v>0</v>
      </c>
      <c r="AK14" s="298"/>
      <c r="AL14" s="298"/>
      <c r="AM14" s="301"/>
      <c r="AN14" s="301">
        <f t="shared" si="5"/>
        <v>0</v>
      </c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</row>
    <row r="15" spans="3:56" ht="12.75">
      <c r="C15" s="87" t="s">
        <v>228</v>
      </c>
      <c r="D15" s="249"/>
      <c r="E15" s="120"/>
      <c r="F15" s="122">
        <v>0.304</v>
      </c>
      <c r="G15" s="122"/>
      <c r="H15" s="123"/>
      <c r="I15" s="124"/>
      <c r="J15" s="125"/>
      <c r="K15" s="126"/>
      <c r="L15" s="217"/>
      <c r="M15" s="126"/>
      <c r="N15" s="126"/>
      <c r="O15" s="126"/>
      <c r="P15" s="131"/>
      <c r="Q15" s="127">
        <v>0.304</v>
      </c>
      <c r="R15" s="127"/>
      <c r="S15" s="127"/>
      <c r="T15" s="171">
        <f t="shared" si="1"/>
        <v>0.304</v>
      </c>
      <c r="U15" s="237">
        <v>0.304</v>
      </c>
      <c r="V15" s="236">
        <f t="shared" si="2"/>
        <v>0</v>
      </c>
      <c r="W15" s="127"/>
      <c r="X15" s="127"/>
      <c r="Y15" s="128"/>
      <c r="Z15" s="168">
        <f t="shared" si="0"/>
        <v>0.304</v>
      </c>
      <c r="AB15" s="88">
        <f t="shared" si="3"/>
        <v>0</v>
      </c>
      <c r="AD15" s="298"/>
      <c r="AE15" s="298"/>
      <c r="AF15" s="298"/>
      <c r="AG15" s="298"/>
      <c r="AH15" s="298"/>
      <c r="AI15" s="298"/>
      <c r="AJ15" s="298">
        <f t="shared" si="4"/>
        <v>0</v>
      </c>
      <c r="AK15" s="298"/>
      <c r="AL15" s="298"/>
      <c r="AM15" s="301"/>
      <c r="AN15" s="301">
        <f t="shared" si="5"/>
        <v>0</v>
      </c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</row>
    <row r="16" spans="3:56" ht="12.75">
      <c r="C16" s="87" t="s">
        <v>229</v>
      </c>
      <c r="D16" s="249"/>
      <c r="E16" s="120"/>
      <c r="F16" s="122">
        <v>0.565</v>
      </c>
      <c r="G16" s="122"/>
      <c r="H16" s="123"/>
      <c r="I16" s="124"/>
      <c r="J16" s="125"/>
      <c r="K16" s="126"/>
      <c r="L16" s="217"/>
      <c r="M16" s="126"/>
      <c r="N16" s="126"/>
      <c r="O16" s="126">
        <v>0.565</v>
      </c>
      <c r="P16" s="131"/>
      <c r="Q16" s="127"/>
      <c r="R16" s="127"/>
      <c r="S16" s="127"/>
      <c r="T16" s="171">
        <f t="shared" si="1"/>
        <v>0.565</v>
      </c>
      <c r="U16" s="237">
        <v>0.565</v>
      </c>
      <c r="V16" s="236">
        <f t="shared" si="2"/>
        <v>0</v>
      </c>
      <c r="W16" s="127"/>
      <c r="X16" s="127"/>
      <c r="Y16" s="128"/>
      <c r="Z16" s="168">
        <f t="shared" si="0"/>
        <v>0.565</v>
      </c>
      <c r="AB16" s="88">
        <f t="shared" si="3"/>
        <v>0</v>
      </c>
      <c r="AD16" s="298"/>
      <c r="AE16" s="298"/>
      <c r="AF16" s="298"/>
      <c r="AG16" s="298"/>
      <c r="AH16" s="298"/>
      <c r="AI16" s="298"/>
      <c r="AJ16" s="298">
        <f t="shared" si="4"/>
        <v>0</v>
      </c>
      <c r="AK16" s="298"/>
      <c r="AL16" s="298"/>
      <c r="AM16" s="301"/>
      <c r="AN16" s="301">
        <f t="shared" si="5"/>
        <v>0</v>
      </c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</row>
    <row r="17" spans="3:56" ht="12.75">
      <c r="C17" s="87" t="s">
        <v>230</v>
      </c>
      <c r="D17" s="249"/>
      <c r="E17" s="120"/>
      <c r="F17" s="122">
        <v>0.038</v>
      </c>
      <c r="G17" s="122"/>
      <c r="H17" s="123"/>
      <c r="I17" s="124"/>
      <c r="J17" s="125"/>
      <c r="K17" s="126"/>
      <c r="L17" s="217"/>
      <c r="M17" s="126"/>
      <c r="N17" s="126"/>
      <c r="O17" s="126"/>
      <c r="P17" s="131"/>
      <c r="Q17" s="127"/>
      <c r="R17" s="127"/>
      <c r="S17" s="127"/>
      <c r="T17" s="171">
        <f t="shared" si="1"/>
        <v>0</v>
      </c>
      <c r="U17" s="237">
        <f>SUM(K17:T17)</f>
        <v>0</v>
      </c>
      <c r="V17" s="236">
        <f t="shared" si="2"/>
        <v>0</v>
      </c>
      <c r="W17" s="127"/>
      <c r="X17" s="127">
        <v>0.038</v>
      </c>
      <c r="Y17" s="128"/>
      <c r="Z17" s="168">
        <f t="shared" si="0"/>
        <v>0.038</v>
      </c>
      <c r="AB17" s="88">
        <f t="shared" si="3"/>
        <v>0</v>
      </c>
      <c r="AD17" s="298"/>
      <c r="AE17" s="298"/>
      <c r="AF17" s="298"/>
      <c r="AG17" s="298"/>
      <c r="AH17" s="298"/>
      <c r="AI17" s="298"/>
      <c r="AJ17" s="298">
        <f t="shared" si="4"/>
        <v>0</v>
      </c>
      <c r="AK17" s="298"/>
      <c r="AL17" s="298"/>
      <c r="AM17" s="301"/>
      <c r="AN17" s="301">
        <f t="shared" si="5"/>
        <v>0</v>
      </c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</row>
    <row r="18" spans="3:56" ht="12.75">
      <c r="C18" s="87" t="s">
        <v>83</v>
      </c>
      <c r="D18" s="249"/>
      <c r="E18" s="120"/>
      <c r="F18" s="122">
        <v>4.968</v>
      </c>
      <c r="G18" s="122"/>
      <c r="H18" s="123"/>
      <c r="I18" s="124"/>
      <c r="J18" s="125"/>
      <c r="K18" s="126">
        <v>0.044</v>
      </c>
      <c r="L18" s="217">
        <v>0.05</v>
      </c>
      <c r="M18" s="126">
        <v>0.1</v>
      </c>
      <c r="N18" s="126">
        <v>0.2</v>
      </c>
      <c r="O18" s="126">
        <v>0.3</v>
      </c>
      <c r="P18" s="126">
        <v>0.3</v>
      </c>
      <c r="Q18" s="126">
        <v>0.3</v>
      </c>
      <c r="R18" s="126">
        <v>0.3</v>
      </c>
      <c r="S18" s="126">
        <v>1</v>
      </c>
      <c r="T18" s="171">
        <f t="shared" si="1"/>
        <v>2.5940000000000003</v>
      </c>
      <c r="U18" s="237">
        <v>0.707</v>
      </c>
      <c r="V18" s="236">
        <f t="shared" si="2"/>
        <v>1.8870000000000005</v>
      </c>
      <c r="W18" s="126">
        <v>1.286</v>
      </c>
      <c r="X18" s="126">
        <v>1.088</v>
      </c>
      <c r="Y18" s="128"/>
      <c r="Z18" s="168">
        <f t="shared" si="0"/>
        <v>4.968</v>
      </c>
      <c r="AB18" s="88">
        <f t="shared" si="3"/>
        <v>0</v>
      </c>
      <c r="AD18" s="298"/>
      <c r="AE18" s="298"/>
      <c r="AF18" s="298"/>
      <c r="AG18" s="298"/>
      <c r="AH18" s="298"/>
      <c r="AI18" s="298"/>
      <c r="AJ18" s="298">
        <f t="shared" si="4"/>
        <v>0</v>
      </c>
      <c r="AK18" s="298"/>
      <c r="AL18" s="298"/>
      <c r="AM18" s="301"/>
      <c r="AN18" s="301">
        <f t="shared" si="5"/>
        <v>0</v>
      </c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</row>
    <row r="19" spans="3:56" ht="12.75">
      <c r="C19" s="87" t="s">
        <v>231</v>
      </c>
      <c r="D19" s="249"/>
      <c r="E19" s="120"/>
      <c r="F19" s="122">
        <v>0.011</v>
      </c>
      <c r="G19" s="122"/>
      <c r="H19" s="123"/>
      <c r="I19" s="124"/>
      <c r="J19" s="125"/>
      <c r="K19" s="126">
        <v>0.01</v>
      </c>
      <c r="L19" s="217">
        <v>0</v>
      </c>
      <c r="M19" s="126"/>
      <c r="N19" s="126">
        <v>0.001</v>
      </c>
      <c r="O19" s="126"/>
      <c r="P19" s="131"/>
      <c r="Q19" s="127"/>
      <c r="R19" s="127"/>
      <c r="S19" s="127"/>
      <c r="T19" s="171">
        <f t="shared" si="1"/>
        <v>0.011</v>
      </c>
      <c r="U19" s="237">
        <v>0.016</v>
      </c>
      <c r="V19" s="236">
        <f t="shared" si="2"/>
        <v>-0.005000000000000001</v>
      </c>
      <c r="W19" s="127"/>
      <c r="X19" s="127"/>
      <c r="Y19" s="128"/>
      <c r="Z19" s="168">
        <f t="shared" si="0"/>
        <v>0.011</v>
      </c>
      <c r="AB19" s="88">
        <f t="shared" si="3"/>
        <v>0</v>
      </c>
      <c r="AD19" s="298"/>
      <c r="AE19" s="298"/>
      <c r="AF19" s="298"/>
      <c r="AG19" s="298"/>
      <c r="AH19" s="298"/>
      <c r="AI19" s="298"/>
      <c r="AJ19" s="298">
        <f t="shared" si="4"/>
        <v>0</v>
      </c>
      <c r="AK19" s="298"/>
      <c r="AL19" s="298"/>
      <c r="AM19" s="301"/>
      <c r="AN19" s="301">
        <f t="shared" si="5"/>
        <v>0</v>
      </c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</row>
    <row r="20" spans="3:56" ht="12.75">
      <c r="C20" s="87" t="s">
        <v>84</v>
      </c>
      <c r="D20" s="249"/>
      <c r="E20" s="120"/>
      <c r="F20" s="122">
        <v>0</v>
      </c>
      <c r="G20" s="122"/>
      <c r="H20" s="123"/>
      <c r="I20" s="124"/>
      <c r="J20" s="125"/>
      <c r="K20" s="126"/>
      <c r="L20" s="217"/>
      <c r="M20" s="126"/>
      <c r="N20" s="126"/>
      <c r="O20" s="126"/>
      <c r="P20" s="131"/>
      <c r="Q20" s="127"/>
      <c r="R20" s="127"/>
      <c r="S20" s="127"/>
      <c r="T20" s="171">
        <f t="shared" si="1"/>
        <v>0</v>
      </c>
      <c r="U20" s="237">
        <f>SUM(K20:T20)</f>
        <v>0</v>
      </c>
      <c r="V20" s="236">
        <f t="shared" si="2"/>
        <v>0</v>
      </c>
      <c r="W20" s="127"/>
      <c r="X20" s="127"/>
      <c r="Y20" s="128"/>
      <c r="Z20" s="168">
        <f t="shared" si="0"/>
        <v>0</v>
      </c>
      <c r="AB20" s="88">
        <f t="shared" si="3"/>
        <v>0</v>
      </c>
      <c r="AD20" s="298"/>
      <c r="AE20" s="298"/>
      <c r="AF20" s="298"/>
      <c r="AG20" s="298"/>
      <c r="AH20" s="298"/>
      <c r="AI20" s="298"/>
      <c r="AJ20" s="298">
        <f t="shared" si="4"/>
        <v>0</v>
      </c>
      <c r="AK20" s="298"/>
      <c r="AL20" s="298"/>
      <c r="AM20" s="301"/>
      <c r="AN20" s="301">
        <f t="shared" si="5"/>
        <v>0</v>
      </c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</row>
    <row r="21" spans="3:56" ht="12.75">
      <c r="C21" s="87" t="s">
        <v>85</v>
      </c>
      <c r="D21" s="249"/>
      <c r="E21" s="120"/>
      <c r="F21" s="122">
        <v>0</v>
      </c>
      <c r="G21" s="122"/>
      <c r="H21" s="123"/>
      <c r="I21" s="124"/>
      <c r="J21" s="125"/>
      <c r="K21" s="126"/>
      <c r="L21" s="217"/>
      <c r="M21" s="126"/>
      <c r="N21" s="126"/>
      <c r="O21" s="126"/>
      <c r="P21" s="131"/>
      <c r="Q21" s="127"/>
      <c r="R21" s="127"/>
      <c r="S21" s="127"/>
      <c r="T21" s="171">
        <f t="shared" si="1"/>
        <v>0</v>
      </c>
      <c r="U21" s="237">
        <f>SUM(K21:T21)</f>
        <v>0</v>
      </c>
      <c r="V21" s="236">
        <f t="shared" si="2"/>
        <v>0</v>
      </c>
      <c r="W21" s="127"/>
      <c r="X21" s="127"/>
      <c r="Y21" s="128"/>
      <c r="Z21" s="168">
        <f t="shared" si="0"/>
        <v>0</v>
      </c>
      <c r="AB21" s="88">
        <f t="shared" si="3"/>
        <v>0</v>
      </c>
      <c r="AD21" s="298"/>
      <c r="AE21" s="298"/>
      <c r="AF21" s="298"/>
      <c r="AG21" s="298"/>
      <c r="AH21" s="298"/>
      <c r="AI21" s="298"/>
      <c r="AJ21" s="298">
        <f t="shared" si="4"/>
        <v>0</v>
      </c>
      <c r="AK21" s="298"/>
      <c r="AL21" s="298"/>
      <c r="AM21" s="301"/>
      <c r="AN21" s="301">
        <f t="shared" si="5"/>
        <v>0</v>
      </c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</row>
    <row r="22" spans="3:56" ht="12.75">
      <c r="C22" s="87" t="s">
        <v>86</v>
      </c>
      <c r="D22" s="249"/>
      <c r="E22" s="120"/>
      <c r="F22" s="122">
        <v>0</v>
      </c>
      <c r="G22" s="122"/>
      <c r="H22" s="123"/>
      <c r="I22" s="124"/>
      <c r="J22" s="125"/>
      <c r="K22" s="126"/>
      <c r="L22" s="217"/>
      <c r="M22" s="126"/>
      <c r="N22" s="126"/>
      <c r="O22" s="126"/>
      <c r="P22" s="131"/>
      <c r="Q22" s="127"/>
      <c r="R22" s="127"/>
      <c r="S22" s="127"/>
      <c r="T22" s="171">
        <f t="shared" si="1"/>
        <v>0</v>
      </c>
      <c r="U22" s="237">
        <f>SUM(K22:T22)</f>
        <v>0</v>
      </c>
      <c r="V22" s="236">
        <f t="shared" si="2"/>
        <v>0</v>
      </c>
      <c r="W22" s="127"/>
      <c r="X22" s="127"/>
      <c r="Y22" s="128"/>
      <c r="Z22" s="168">
        <f t="shared" si="0"/>
        <v>0</v>
      </c>
      <c r="AB22" s="88">
        <f t="shared" si="3"/>
        <v>0</v>
      </c>
      <c r="AD22" s="298"/>
      <c r="AE22" s="298"/>
      <c r="AF22" s="298"/>
      <c r="AG22" s="298"/>
      <c r="AH22" s="298"/>
      <c r="AI22" s="298"/>
      <c r="AJ22" s="298">
        <f t="shared" si="4"/>
        <v>0</v>
      </c>
      <c r="AK22" s="298"/>
      <c r="AL22" s="298"/>
      <c r="AM22" s="301"/>
      <c r="AN22" s="301">
        <f t="shared" si="5"/>
        <v>0</v>
      </c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</row>
    <row r="23" spans="3:56" ht="12.75">
      <c r="C23" s="87" t="s">
        <v>87</v>
      </c>
      <c r="D23" s="249"/>
      <c r="E23" s="120"/>
      <c r="F23" s="122">
        <v>0</v>
      </c>
      <c r="G23" s="122"/>
      <c r="H23" s="123"/>
      <c r="I23" s="124"/>
      <c r="J23" s="125"/>
      <c r="K23" s="126"/>
      <c r="L23" s="217"/>
      <c r="M23" s="126"/>
      <c r="N23" s="126"/>
      <c r="O23" s="126"/>
      <c r="P23" s="131"/>
      <c r="Q23" s="127"/>
      <c r="R23" s="127"/>
      <c r="S23" s="127"/>
      <c r="T23" s="171">
        <f t="shared" si="1"/>
        <v>0</v>
      </c>
      <c r="U23" s="237">
        <f>SUM(K23:T23)</f>
        <v>0</v>
      </c>
      <c r="V23" s="236">
        <f t="shared" si="2"/>
        <v>0</v>
      </c>
      <c r="W23" s="127"/>
      <c r="X23" s="127"/>
      <c r="Y23" s="128"/>
      <c r="Z23" s="168">
        <f t="shared" si="0"/>
        <v>0</v>
      </c>
      <c r="AB23" s="88">
        <f t="shared" si="3"/>
        <v>0</v>
      </c>
      <c r="AD23" s="298"/>
      <c r="AE23" s="298"/>
      <c r="AF23" s="298"/>
      <c r="AG23" s="298"/>
      <c r="AH23" s="298"/>
      <c r="AI23" s="298"/>
      <c r="AJ23" s="298">
        <f t="shared" si="4"/>
        <v>0</v>
      </c>
      <c r="AK23" s="298"/>
      <c r="AL23" s="298"/>
      <c r="AM23" s="301"/>
      <c r="AN23" s="301">
        <f t="shared" si="5"/>
        <v>0</v>
      </c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</row>
    <row r="24" spans="3:56" ht="12.75">
      <c r="C24" s="87" t="s">
        <v>88</v>
      </c>
      <c r="D24" s="249"/>
      <c r="E24" s="120"/>
      <c r="F24" s="122">
        <v>1.083</v>
      </c>
      <c r="G24" s="122"/>
      <c r="H24" s="123"/>
      <c r="I24" s="124"/>
      <c r="J24" s="125"/>
      <c r="K24" s="126">
        <v>0.022</v>
      </c>
      <c r="L24" s="217">
        <v>0.01</v>
      </c>
      <c r="M24" s="126">
        <v>0.01</v>
      </c>
      <c r="N24" s="126">
        <v>0.01</v>
      </c>
      <c r="O24" s="126">
        <v>0.01</v>
      </c>
      <c r="P24" s="126">
        <v>0.01</v>
      </c>
      <c r="Q24" s="127">
        <v>0.1</v>
      </c>
      <c r="R24" s="127">
        <v>0.2</v>
      </c>
      <c r="S24" s="127">
        <v>0.3</v>
      </c>
      <c r="T24" s="171">
        <f t="shared" si="1"/>
        <v>0.6719999999999999</v>
      </c>
      <c r="U24" s="131">
        <v>0.33</v>
      </c>
      <c r="V24" s="236">
        <f t="shared" si="2"/>
        <v>0.3419999999999999</v>
      </c>
      <c r="W24" s="127">
        <v>0.4</v>
      </c>
      <c r="X24" s="127">
        <v>0.011</v>
      </c>
      <c r="Y24" s="128"/>
      <c r="Z24" s="168">
        <f t="shared" si="0"/>
        <v>1.083</v>
      </c>
      <c r="AB24" s="88">
        <f t="shared" si="3"/>
        <v>0</v>
      </c>
      <c r="AD24" s="298"/>
      <c r="AE24" s="298"/>
      <c r="AF24" s="298"/>
      <c r="AG24" s="298"/>
      <c r="AH24" s="298"/>
      <c r="AI24" s="298"/>
      <c r="AJ24" s="298">
        <f t="shared" si="4"/>
        <v>0</v>
      </c>
      <c r="AK24" s="298"/>
      <c r="AL24" s="298"/>
      <c r="AM24" s="301"/>
      <c r="AN24" s="301">
        <f t="shared" si="5"/>
        <v>0</v>
      </c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</row>
    <row r="25" spans="3:56" ht="12.75">
      <c r="C25" s="87" t="s">
        <v>89</v>
      </c>
      <c r="D25" s="249"/>
      <c r="E25" s="120"/>
      <c r="F25" s="122">
        <v>0.118</v>
      </c>
      <c r="G25" s="122"/>
      <c r="H25" s="123"/>
      <c r="I25" s="124"/>
      <c r="J25" s="125"/>
      <c r="K25" s="126">
        <v>0.013</v>
      </c>
      <c r="L25" s="217"/>
      <c r="M25" s="126"/>
      <c r="N25" s="126">
        <v>0.016</v>
      </c>
      <c r="O25" s="126"/>
      <c r="P25" s="131"/>
      <c r="Q25" s="127"/>
      <c r="R25" s="127"/>
      <c r="S25" s="127">
        <v>0.03</v>
      </c>
      <c r="T25" s="171">
        <f t="shared" si="1"/>
        <v>0.059</v>
      </c>
      <c r="U25" s="131">
        <v>0.117</v>
      </c>
      <c r="V25" s="236">
        <f t="shared" si="2"/>
        <v>-0.05800000000000001</v>
      </c>
      <c r="W25" s="127">
        <v>0.03</v>
      </c>
      <c r="X25" s="127">
        <v>0.029</v>
      </c>
      <c r="Y25" s="128"/>
      <c r="Z25" s="168">
        <f t="shared" si="0"/>
        <v>0.118</v>
      </c>
      <c r="AB25" s="88">
        <f t="shared" si="3"/>
        <v>0</v>
      </c>
      <c r="AD25" s="298"/>
      <c r="AE25" s="298"/>
      <c r="AF25" s="298"/>
      <c r="AG25" s="298"/>
      <c r="AH25" s="298"/>
      <c r="AI25" s="298"/>
      <c r="AJ25" s="298">
        <f t="shared" si="4"/>
        <v>0</v>
      </c>
      <c r="AK25" s="298"/>
      <c r="AL25" s="298"/>
      <c r="AM25" s="301"/>
      <c r="AN25" s="301">
        <f t="shared" si="5"/>
        <v>0</v>
      </c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</row>
    <row r="26" spans="3:56" ht="12.75">
      <c r="C26" s="87" t="s">
        <v>232</v>
      </c>
      <c r="D26" s="249"/>
      <c r="E26" s="120"/>
      <c r="F26" s="122">
        <v>0.139</v>
      </c>
      <c r="G26" s="122"/>
      <c r="H26" s="123"/>
      <c r="I26" s="124"/>
      <c r="J26" s="125"/>
      <c r="K26" s="126">
        <v>0.047</v>
      </c>
      <c r="L26" s="217">
        <v>0.019</v>
      </c>
      <c r="M26" s="126"/>
      <c r="N26" s="126"/>
      <c r="O26" s="126"/>
      <c r="P26" s="131"/>
      <c r="Q26" s="127"/>
      <c r="R26" s="127"/>
      <c r="S26" s="127">
        <v>0.025</v>
      </c>
      <c r="T26" s="171">
        <f t="shared" si="1"/>
        <v>0.091</v>
      </c>
      <c r="U26" s="131">
        <v>0.09</v>
      </c>
      <c r="V26" s="236">
        <f t="shared" si="2"/>
        <v>0.0010000000000000009</v>
      </c>
      <c r="W26" s="127">
        <v>0.025</v>
      </c>
      <c r="X26" s="127">
        <v>0.023</v>
      </c>
      <c r="Y26" s="128"/>
      <c r="Z26" s="168">
        <f t="shared" si="0"/>
        <v>0.139</v>
      </c>
      <c r="AB26" s="88">
        <f t="shared" si="3"/>
        <v>0</v>
      </c>
      <c r="AD26" s="298"/>
      <c r="AE26" s="298"/>
      <c r="AF26" s="298"/>
      <c r="AG26" s="298"/>
      <c r="AH26" s="298"/>
      <c r="AI26" s="298"/>
      <c r="AJ26" s="298">
        <f t="shared" si="4"/>
        <v>0</v>
      </c>
      <c r="AK26" s="298"/>
      <c r="AL26" s="298"/>
      <c r="AM26" s="301"/>
      <c r="AN26" s="301">
        <f t="shared" si="5"/>
        <v>0</v>
      </c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</row>
    <row r="27" spans="3:56" ht="12.75">
      <c r="C27" s="87" t="s">
        <v>90</v>
      </c>
      <c r="D27" s="249"/>
      <c r="E27" s="120"/>
      <c r="F27" s="122">
        <v>0.109</v>
      </c>
      <c r="G27" s="122"/>
      <c r="H27" s="123"/>
      <c r="I27" s="124"/>
      <c r="J27" s="125"/>
      <c r="K27" s="126"/>
      <c r="L27" s="217"/>
      <c r="M27" s="126">
        <v>0.005</v>
      </c>
      <c r="N27" s="126">
        <v>0.005</v>
      </c>
      <c r="O27" s="126">
        <v>0.005</v>
      </c>
      <c r="P27" s="126">
        <v>0.005</v>
      </c>
      <c r="Q27" s="126">
        <v>0.005</v>
      </c>
      <c r="R27" s="126">
        <v>0.01</v>
      </c>
      <c r="S27" s="126">
        <v>0.01</v>
      </c>
      <c r="T27" s="171">
        <f t="shared" si="1"/>
        <v>0.045000000000000005</v>
      </c>
      <c r="U27" s="131">
        <v>0.019</v>
      </c>
      <c r="V27" s="236">
        <f t="shared" si="2"/>
        <v>0.026000000000000006</v>
      </c>
      <c r="W27" s="126">
        <v>0.01</v>
      </c>
      <c r="X27" s="127">
        <v>0.054</v>
      </c>
      <c r="Y27" s="128"/>
      <c r="Z27" s="168">
        <f t="shared" si="0"/>
        <v>0.10900000000000001</v>
      </c>
      <c r="AB27" s="88">
        <f t="shared" si="3"/>
        <v>0</v>
      </c>
      <c r="AD27" s="298"/>
      <c r="AE27" s="298"/>
      <c r="AF27" s="298"/>
      <c r="AG27" s="298"/>
      <c r="AH27" s="298"/>
      <c r="AI27" s="298"/>
      <c r="AJ27" s="298">
        <f t="shared" si="4"/>
        <v>0</v>
      </c>
      <c r="AK27" s="298"/>
      <c r="AL27" s="298"/>
      <c r="AM27" s="301"/>
      <c r="AN27" s="301">
        <f t="shared" si="5"/>
        <v>0</v>
      </c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</row>
    <row r="28" spans="3:56" ht="12.75">
      <c r="C28" s="87" t="s">
        <v>77</v>
      </c>
      <c r="D28" s="249"/>
      <c r="E28" s="120"/>
      <c r="F28" s="122">
        <v>0.1</v>
      </c>
      <c r="G28" s="122"/>
      <c r="H28" s="123"/>
      <c r="I28" s="124"/>
      <c r="J28" s="125"/>
      <c r="K28" s="126"/>
      <c r="L28" s="217">
        <v>0.005</v>
      </c>
      <c r="M28" s="126">
        <v>0.005</v>
      </c>
      <c r="N28" s="126">
        <v>0.005</v>
      </c>
      <c r="O28" s="126">
        <v>0.005</v>
      </c>
      <c r="P28" s="126">
        <v>0.005</v>
      </c>
      <c r="Q28" s="126">
        <v>0.005</v>
      </c>
      <c r="R28" s="126">
        <v>0.01</v>
      </c>
      <c r="S28" s="126">
        <v>0.01</v>
      </c>
      <c r="T28" s="171">
        <f t="shared" si="1"/>
        <v>0.05</v>
      </c>
      <c r="U28" s="131">
        <v>0.004</v>
      </c>
      <c r="V28" s="236">
        <f t="shared" si="2"/>
        <v>0.046</v>
      </c>
      <c r="W28" s="126">
        <v>0.025</v>
      </c>
      <c r="X28" s="126">
        <v>0.025</v>
      </c>
      <c r="Y28" s="128"/>
      <c r="Z28" s="168">
        <f t="shared" si="0"/>
        <v>0.1</v>
      </c>
      <c r="AB28" s="88">
        <f t="shared" si="3"/>
        <v>0</v>
      </c>
      <c r="AD28" s="298"/>
      <c r="AE28" s="298"/>
      <c r="AF28" s="298"/>
      <c r="AG28" s="298"/>
      <c r="AH28" s="298"/>
      <c r="AI28" s="298"/>
      <c r="AJ28" s="298">
        <f t="shared" si="4"/>
        <v>0</v>
      </c>
      <c r="AK28" s="298"/>
      <c r="AL28" s="298"/>
      <c r="AM28" s="301"/>
      <c r="AN28" s="301">
        <f t="shared" si="5"/>
        <v>0</v>
      </c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</row>
    <row r="29" spans="3:56" ht="12.75">
      <c r="C29" s="87" t="s">
        <v>91</v>
      </c>
      <c r="D29" s="249"/>
      <c r="E29" s="120"/>
      <c r="F29" s="122">
        <v>0.311</v>
      </c>
      <c r="G29" s="122"/>
      <c r="H29" s="123"/>
      <c r="I29" s="124"/>
      <c r="J29" s="125"/>
      <c r="K29" s="126"/>
      <c r="L29" s="217">
        <v>0.02</v>
      </c>
      <c r="M29" s="126">
        <v>0.02</v>
      </c>
      <c r="N29" s="126">
        <v>0.02</v>
      </c>
      <c r="O29" s="126">
        <v>0.02</v>
      </c>
      <c r="P29" s="126">
        <v>0.04</v>
      </c>
      <c r="Q29" s="126">
        <v>0.04</v>
      </c>
      <c r="R29" s="126">
        <v>0.04</v>
      </c>
      <c r="S29" s="126">
        <v>0.06</v>
      </c>
      <c r="T29" s="171">
        <f>SUM(J29:S29)</f>
        <v>0.26</v>
      </c>
      <c r="U29" s="131">
        <v>0</v>
      </c>
      <c r="V29" s="236">
        <f t="shared" si="2"/>
        <v>0.26</v>
      </c>
      <c r="W29" s="126">
        <v>0.051</v>
      </c>
      <c r="X29" s="126"/>
      <c r="Y29" s="128"/>
      <c r="Z29" s="168">
        <f t="shared" si="0"/>
        <v>0.311</v>
      </c>
      <c r="AB29" s="88">
        <f t="shared" si="3"/>
        <v>0</v>
      </c>
      <c r="AD29" s="298"/>
      <c r="AE29" s="298"/>
      <c r="AF29" s="298"/>
      <c r="AG29" s="298"/>
      <c r="AH29" s="298"/>
      <c r="AI29" s="298"/>
      <c r="AJ29" s="298">
        <f t="shared" si="4"/>
        <v>0</v>
      </c>
      <c r="AK29" s="298"/>
      <c r="AL29" s="298"/>
      <c r="AM29" s="301"/>
      <c r="AN29" s="301">
        <f t="shared" si="5"/>
        <v>0</v>
      </c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</row>
    <row r="30" spans="3:56" ht="12.75">
      <c r="C30" s="87" t="s">
        <v>468</v>
      </c>
      <c r="D30" s="249"/>
      <c r="E30" s="120"/>
      <c r="F30" s="122">
        <v>0.652</v>
      </c>
      <c r="G30" s="122"/>
      <c r="H30" s="123"/>
      <c r="I30" s="124"/>
      <c r="J30" s="125"/>
      <c r="K30" s="126">
        <v>0.008</v>
      </c>
      <c r="L30" s="217">
        <v>0.008</v>
      </c>
      <c r="M30" s="126">
        <v>0.01</v>
      </c>
      <c r="N30" s="126"/>
      <c r="P30" s="131"/>
      <c r="Q30" s="127"/>
      <c r="R30" s="127"/>
      <c r="S30" s="127">
        <v>0.275</v>
      </c>
      <c r="T30" s="171">
        <f t="shared" si="1"/>
        <v>0.30100000000000005</v>
      </c>
      <c r="U30" s="131">
        <v>0</v>
      </c>
      <c r="V30" s="236">
        <f t="shared" si="2"/>
        <v>0.30100000000000005</v>
      </c>
      <c r="W30" s="127">
        <v>0.175</v>
      </c>
      <c r="X30" s="127">
        <v>0.176</v>
      </c>
      <c r="Y30" s="128"/>
      <c r="Z30" s="168">
        <f t="shared" si="0"/>
        <v>0.652</v>
      </c>
      <c r="AB30" s="88">
        <f t="shared" si="3"/>
        <v>0</v>
      </c>
      <c r="AD30" s="298"/>
      <c r="AE30" s="298"/>
      <c r="AF30" s="298"/>
      <c r="AG30" s="298"/>
      <c r="AH30" s="298"/>
      <c r="AI30" s="298"/>
      <c r="AJ30" s="298">
        <f t="shared" si="4"/>
        <v>0</v>
      </c>
      <c r="AK30" s="298"/>
      <c r="AL30" s="298"/>
      <c r="AM30" s="301"/>
      <c r="AN30" s="301">
        <f t="shared" si="5"/>
        <v>0</v>
      </c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</row>
    <row r="31" spans="3:56" ht="12.75">
      <c r="C31" s="87" t="s">
        <v>469</v>
      </c>
      <c r="D31" s="249"/>
      <c r="E31" s="120"/>
      <c r="F31" s="122">
        <v>0.547</v>
      </c>
      <c r="G31" s="122"/>
      <c r="H31" s="123"/>
      <c r="I31" s="124"/>
      <c r="J31" s="125"/>
      <c r="K31" s="126">
        <v>0.001</v>
      </c>
      <c r="L31" s="217">
        <v>0.009</v>
      </c>
      <c r="M31" s="126">
        <v>0.01</v>
      </c>
      <c r="N31" s="126">
        <v>0.01</v>
      </c>
      <c r="O31" s="126">
        <v>0.01</v>
      </c>
      <c r="P31" s="126">
        <v>0.01</v>
      </c>
      <c r="Q31" s="126">
        <v>0.01</v>
      </c>
      <c r="R31" s="126">
        <v>0.01</v>
      </c>
      <c r="S31" s="126">
        <v>0.162</v>
      </c>
      <c r="T31" s="171">
        <f t="shared" si="1"/>
        <v>0.232</v>
      </c>
      <c r="U31" s="131">
        <v>0.045</v>
      </c>
      <c r="V31" s="236">
        <f t="shared" si="2"/>
        <v>0.187</v>
      </c>
      <c r="W31" s="126">
        <v>0.162</v>
      </c>
      <c r="X31" s="126">
        <v>0.153</v>
      </c>
      <c r="Y31" s="128"/>
      <c r="Z31" s="168">
        <f t="shared" si="0"/>
        <v>0.547</v>
      </c>
      <c r="AB31" s="88">
        <f t="shared" si="3"/>
        <v>0</v>
      </c>
      <c r="AD31" s="298"/>
      <c r="AE31" s="298"/>
      <c r="AF31" s="298"/>
      <c r="AG31" s="298"/>
      <c r="AH31" s="298"/>
      <c r="AI31" s="298"/>
      <c r="AJ31" s="298">
        <f t="shared" si="4"/>
        <v>0</v>
      </c>
      <c r="AK31" s="298"/>
      <c r="AL31" s="298"/>
      <c r="AM31" s="301"/>
      <c r="AN31" s="301">
        <f t="shared" si="5"/>
        <v>0</v>
      </c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</row>
    <row r="32" spans="3:56" ht="12.75">
      <c r="C32" s="87" t="s">
        <v>242</v>
      </c>
      <c r="D32" s="249"/>
      <c r="E32" s="132"/>
      <c r="F32" s="133">
        <v>0.231</v>
      </c>
      <c r="G32" s="133"/>
      <c r="H32" s="134"/>
      <c r="I32" s="135"/>
      <c r="J32" s="136">
        <v>0.231</v>
      </c>
      <c r="K32" s="137"/>
      <c r="L32" s="218"/>
      <c r="M32" s="137"/>
      <c r="N32" s="137"/>
      <c r="O32" s="137"/>
      <c r="P32" s="137"/>
      <c r="Q32" s="137"/>
      <c r="R32" s="137"/>
      <c r="S32" s="137"/>
      <c r="T32" s="171">
        <f>SUM(J32:S32)</f>
        <v>0.231</v>
      </c>
      <c r="U32" s="138">
        <v>0.108</v>
      </c>
      <c r="V32" s="236">
        <f>T32-U32</f>
        <v>0.12300000000000001</v>
      </c>
      <c r="W32" s="137"/>
      <c r="X32" s="137"/>
      <c r="Y32" s="140"/>
      <c r="Z32" s="168">
        <f>T32+SUM(W32:X32)</f>
        <v>0.231</v>
      </c>
      <c r="AB32" s="88">
        <f>F32-Z32</f>
        <v>0</v>
      </c>
      <c r="AD32" s="298"/>
      <c r="AE32" s="298"/>
      <c r="AF32" s="298"/>
      <c r="AG32" s="298"/>
      <c r="AH32" s="298"/>
      <c r="AI32" s="298"/>
      <c r="AJ32" s="298">
        <f t="shared" si="4"/>
        <v>0</v>
      </c>
      <c r="AK32" s="298"/>
      <c r="AL32" s="298"/>
      <c r="AM32" s="301"/>
      <c r="AN32" s="301">
        <f t="shared" si="5"/>
        <v>0</v>
      </c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</row>
    <row r="33" spans="3:56" ht="13.5" thickBot="1">
      <c r="C33" s="87" t="s">
        <v>495</v>
      </c>
      <c r="D33" s="249"/>
      <c r="E33" s="132"/>
      <c r="F33" s="133">
        <v>-2.754</v>
      </c>
      <c r="G33" s="133"/>
      <c r="H33" s="134"/>
      <c r="I33" s="135"/>
      <c r="J33" s="136">
        <v>-2.754</v>
      </c>
      <c r="K33" s="137"/>
      <c r="L33" s="218"/>
      <c r="M33" s="137"/>
      <c r="N33" s="137"/>
      <c r="O33" s="137"/>
      <c r="P33" s="137"/>
      <c r="Q33" s="137"/>
      <c r="R33" s="137"/>
      <c r="S33" s="137"/>
      <c r="T33" s="171">
        <f t="shared" si="1"/>
        <v>-2.754</v>
      </c>
      <c r="U33" s="138">
        <v>0</v>
      </c>
      <c r="V33" s="236">
        <f t="shared" si="2"/>
        <v>-2.754</v>
      </c>
      <c r="W33" s="137"/>
      <c r="X33" s="137"/>
      <c r="Y33" s="140"/>
      <c r="Z33" s="168">
        <f t="shared" si="0"/>
        <v>-2.754</v>
      </c>
      <c r="AB33" s="88">
        <f t="shared" si="3"/>
        <v>0</v>
      </c>
      <c r="AD33" s="299"/>
      <c r="AE33" s="299"/>
      <c r="AF33" s="299"/>
      <c r="AG33" s="299"/>
      <c r="AH33" s="299"/>
      <c r="AI33" s="299"/>
      <c r="AJ33" s="299">
        <f t="shared" si="4"/>
        <v>0</v>
      </c>
      <c r="AK33" s="299"/>
      <c r="AL33" s="299"/>
      <c r="AM33" s="302"/>
      <c r="AN33" s="301">
        <f t="shared" si="5"/>
        <v>0</v>
      </c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</row>
    <row r="34" spans="3:56" ht="12.75">
      <c r="C34" s="87"/>
      <c r="D34" s="249"/>
      <c r="E34" s="141"/>
      <c r="F34" s="142">
        <f>SUM(F10:F33)</f>
        <v>8.349999999999998</v>
      </c>
      <c r="G34" s="143"/>
      <c r="H34" s="114"/>
      <c r="I34" s="144"/>
      <c r="J34" s="145">
        <f aca="true" t="shared" si="6" ref="J34:X34">SUM(J10:J33)</f>
        <v>-2.523</v>
      </c>
      <c r="K34" s="146">
        <f t="shared" si="6"/>
        <v>0.18</v>
      </c>
      <c r="L34" s="219">
        <f t="shared" si="6"/>
        <v>0.191</v>
      </c>
      <c r="M34" s="146">
        <f t="shared" si="6"/>
        <v>0.24500000000000002</v>
      </c>
      <c r="N34" s="146">
        <f t="shared" si="6"/>
        <v>0.3600000000000001</v>
      </c>
      <c r="O34" s="146">
        <f t="shared" si="6"/>
        <v>1.0649999999999997</v>
      </c>
      <c r="P34" s="146">
        <f t="shared" si="6"/>
        <v>0.545</v>
      </c>
      <c r="Q34" s="147">
        <f t="shared" si="6"/>
        <v>0.949</v>
      </c>
      <c r="R34" s="147">
        <f t="shared" si="6"/>
        <v>0.7550000000000001</v>
      </c>
      <c r="S34" s="147">
        <f t="shared" si="6"/>
        <v>2.147</v>
      </c>
      <c r="T34" s="278">
        <f t="shared" si="6"/>
        <v>3.914</v>
      </c>
      <c r="U34" s="238">
        <f t="shared" si="6"/>
        <v>3.304</v>
      </c>
      <c r="V34" s="239">
        <f t="shared" si="6"/>
        <v>0.6100000000000003</v>
      </c>
      <c r="W34" s="147">
        <f t="shared" si="6"/>
        <v>2.4689999999999994</v>
      </c>
      <c r="X34" s="147">
        <f t="shared" si="6"/>
        <v>1.9669999999999996</v>
      </c>
      <c r="Y34" s="118"/>
      <c r="Z34" s="168">
        <f t="shared" si="0"/>
        <v>8.35</v>
      </c>
      <c r="AB34" s="88">
        <f t="shared" si="3"/>
        <v>0</v>
      </c>
      <c r="AD34" s="170">
        <f>SUM(AD10:AD33)</f>
        <v>0</v>
      </c>
      <c r="AE34" s="170">
        <f aca="true" t="shared" si="7" ref="AE34:AP34">SUM(AE10:AE33)</f>
        <v>0</v>
      </c>
      <c r="AF34" s="170">
        <f t="shared" si="7"/>
        <v>0</v>
      </c>
      <c r="AG34" s="170">
        <f t="shared" si="7"/>
        <v>0</v>
      </c>
      <c r="AH34" s="170">
        <f t="shared" si="7"/>
        <v>0</v>
      </c>
      <c r="AI34" s="170">
        <f t="shared" si="7"/>
        <v>0</v>
      </c>
      <c r="AJ34" s="170">
        <f t="shared" si="7"/>
        <v>0</v>
      </c>
      <c r="AK34" s="170">
        <f t="shared" si="7"/>
        <v>0</v>
      </c>
      <c r="AL34" s="170">
        <f t="shared" si="7"/>
        <v>0</v>
      </c>
      <c r="AM34" s="170">
        <f t="shared" si="7"/>
        <v>0</v>
      </c>
      <c r="AN34" s="170">
        <f t="shared" si="7"/>
        <v>0</v>
      </c>
      <c r="AP34" s="170">
        <f t="shared" si="7"/>
        <v>0</v>
      </c>
      <c r="AQ34" s="170">
        <f aca="true" t="shared" si="8" ref="AQ34:BD34">SUM(AQ10:AQ33)</f>
        <v>0</v>
      </c>
      <c r="AR34" s="170">
        <f t="shared" si="8"/>
        <v>0</v>
      </c>
      <c r="AS34" s="170">
        <f t="shared" si="8"/>
        <v>0</v>
      </c>
      <c r="AT34" s="170">
        <f t="shared" si="8"/>
        <v>0</v>
      </c>
      <c r="AU34" s="170">
        <f t="shared" si="8"/>
        <v>0</v>
      </c>
      <c r="AV34" s="170">
        <f t="shared" si="8"/>
        <v>0</v>
      </c>
      <c r="AW34" s="170">
        <f t="shared" si="8"/>
        <v>0</v>
      </c>
      <c r="AX34" s="170">
        <f t="shared" si="8"/>
        <v>0</v>
      </c>
      <c r="AY34" s="170">
        <f t="shared" si="8"/>
        <v>0</v>
      </c>
      <c r="AZ34" s="170">
        <f t="shared" si="8"/>
        <v>0</v>
      </c>
      <c r="BA34" s="170">
        <f t="shared" si="8"/>
        <v>0</v>
      </c>
      <c r="BB34" s="170">
        <f t="shared" si="8"/>
        <v>0</v>
      </c>
      <c r="BC34" s="170">
        <f t="shared" si="8"/>
        <v>0</v>
      </c>
      <c r="BD34" s="170">
        <f t="shared" si="8"/>
        <v>0</v>
      </c>
    </row>
    <row r="35" spans="3:28" ht="12.75">
      <c r="C35" s="87"/>
      <c r="D35" s="249"/>
      <c r="E35" s="120"/>
      <c r="F35" s="122"/>
      <c r="G35" s="122"/>
      <c r="H35" s="123"/>
      <c r="I35" s="124"/>
      <c r="J35" s="125"/>
      <c r="K35" s="126"/>
      <c r="L35" s="217"/>
      <c r="M35" s="126"/>
      <c r="N35" s="126"/>
      <c r="O35" s="126"/>
      <c r="P35" s="131"/>
      <c r="Q35" s="127"/>
      <c r="R35" s="127"/>
      <c r="S35" s="127"/>
      <c r="T35" s="171"/>
      <c r="U35" s="126"/>
      <c r="V35" s="230"/>
      <c r="W35" s="127"/>
      <c r="X35" s="127"/>
      <c r="Y35" s="128"/>
      <c r="Z35" s="168"/>
      <c r="AB35" s="88">
        <f t="shared" si="3"/>
        <v>0</v>
      </c>
    </row>
    <row r="36" spans="3:28" ht="12.75">
      <c r="C36" s="148" t="s">
        <v>160</v>
      </c>
      <c r="D36" s="252"/>
      <c r="E36" s="149"/>
      <c r="F36" s="150"/>
      <c r="G36" s="150"/>
      <c r="H36" s="123"/>
      <c r="I36" s="151"/>
      <c r="J36" s="152"/>
      <c r="K36" s="153"/>
      <c r="L36" s="200"/>
      <c r="M36" s="153"/>
      <c r="N36" s="153"/>
      <c r="O36" s="153"/>
      <c r="P36" s="154"/>
      <c r="Q36" s="127"/>
      <c r="R36" s="127"/>
      <c r="S36" s="127"/>
      <c r="T36" s="171"/>
      <c r="U36" s="153"/>
      <c r="V36" s="231"/>
      <c r="W36" s="127"/>
      <c r="X36" s="127"/>
      <c r="Y36" s="128"/>
      <c r="Z36" s="168"/>
      <c r="AB36" s="88">
        <f t="shared" si="3"/>
        <v>0</v>
      </c>
    </row>
    <row r="37" spans="3:56" ht="12.75">
      <c r="C37" s="155" t="s">
        <v>161</v>
      </c>
      <c r="D37" s="203"/>
      <c r="E37" s="149"/>
      <c r="F37" s="150">
        <v>2.203</v>
      </c>
      <c r="G37" s="150"/>
      <c r="H37" s="123"/>
      <c r="I37" s="151"/>
      <c r="J37" s="152"/>
      <c r="K37" s="153">
        <v>0.15</v>
      </c>
      <c r="L37" s="200">
        <v>0.1</v>
      </c>
      <c r="M37" s="153">
        <v>0.1</v>
      </c>
      <c r="N37" s="153">
        <v>0.1</v>
      </c>
      <c r="O37" s="153">
        <v>0.1</v>
      </c>
      <c r="P37" s="153">
        <v>0.1</v>
      </c>
      <c r="Q37" s="153">
        <v>0.1</v>
      </c>
      <c r="R37" s="153">
        <v>0.1</v>
      </c>
      <c r="S37" s="153">
        <v>0.431</v>
      </c>
      <c r="T37" s="171">
        <f aca="true" t="shared" si="9" ref="T37:T57">SUM(J37:S37)</f>
        <v>1.281</v>
      </c>
      <c r="U37" s="154">
        <v>1.476</v>
      </c>
      <c r="V37" s="236">
        <f aca="true" t="shared" si="10" ref="V37:V57">T37-U37</f>
        <v>-0.19500000000000006</v>
      </c>
      <c r="W37" s="153">
        <v>0.49</v>
      </c>
      <c r="X37" s="153">
        <v>0.432</v>
      </c>
      <c r="Y37" s="128"/>
      <c r="Z37" s="168">
        <f aca="true" t="shared" si="11" ref="Z37:Z57">T37+SUM(W37:X37)</f>
        <v>2.203</v>
      </c>
      <c r="AB37" s="88">
        <f t="shared" si="3"/>
        <v>0</v>
      </c>
      <c r="AD37" s="297"/>
      <c r="AE37" s="297"/>
      <c r="AF37" s="297"/>
      <c r="AG37" s="297"/>
      <c r="AH37" s="297"/>
      <c r="AI37" s="297"/>
      <c r="AJ37" s="297"/>
      <c r="AK37" s="297"/>
      <c r="AL37" s="297"/>
      <c r="AM37" s="300"/>
      <c r="AN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</row>
    <row r="38" spans="3:56" ht="12.75">
      <c r="C38" s="155" t="s">
        <v>162</v>
      </c>
      <c r="D38" s="203"/>
      <c r="E38" s="149"/>
      <c r="F38" s="150"/>
      <c r="G38" s="150"/>
      <c r="H38" s="123"/>
      <c r="I38" s="151"/>
      <c r="J38" s="152"/>
      <c r="K38" s="153"/>
      <c r="L38" s="200"/>
      <c r="M38" s="153"/>
      <c r="N38" s="153"/>
      <c r="O38" s="153"/>
      <c r="P38" s="153"/>
      <c r="Q38" s="153"/>
      <c r="R38" s="127"/>
      <c r="S38" s="127"/>
      <c r="T38" s="171">
        <f t="shared" si="9"/>
        <v>0</v>
      </c>
      <c r="U38" s="154">
        <v>0</v>
      </c>
      <c r="V38" s="236">
        <f t="shared" si="10"/>
        <v>0</v>
      </c>
      <c r="W38" s="127"/>
      <c r="X38" s="127"/>
      <c r="Y38" s="128"/>
      <c r="Z38" s="168">
        <f t="shared" si="11"/>
        <v>0</v>
      </c>
      <c r="AB38" s="88">
        <f t="shared" si="3"/>
        <v>0</v>
      </c>
      <c r="AD38" s="298"/>
      <c r="AE38" s="298"/>
      <c r="AF38" s="298"/>
      <c r="AG38" s="298"/>
      <c r="AH38" s="298"/>
      <c r="AI38" s="298"/>
      <c r="AJ38" s="298"/>
      <c r="AK38" s="298"/>
      <c r="AL38" s="298"/>
      <c r="AM38" s="301"/>
      <c r="AN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</row>
    <row r="39" spans="3:56" ht="12.75">
      <c r="C39" s="155" t="s">
        <v>163</v>
      </c>
      <c r="D39" s="203"/>
      <c r="E39" s="149"/>
      <c r="F39" s="150"/>
      <c r="G39" s="150"/>
      <c r="H39" s="123"/>
      <c r="I39" s="151"/>
      <c r="J39" s="152"/>
      <c r="K39" s="153"/>
      <c r="L39" s="200"/>
      <c r="M39" s="153"/>
      <c r="N39" s="153"/>
      <c r="O39" s="153"/>
      <c r="P39" s="154"/>
      <c r="Q39" s="127"/>
      <c r="R39" s="127"/>
      <c r="S39" s="127"/>
      <c r="T39" s="171">
        <f t="shared" si="9"/>
        <v>0</v>
      </c>
      <c r="U39" s="154">
        <v>0</v>
      </c>
      <c r="V39" s="236">
        <f t="shared" si="10"/>
        <v>0</v>
      </c>
      <c r="W39" s="127"/>
      <c r="X39" s="127"/>
      <c r="Y39" s="128"/>
      <c r="Z39" s="168">
        <f t="shared" si="11"/>
        <v>0</v>
      </c>
      <c r="AB39" s="88">
        <f t="shared" si="3"/>
        <v>0</v>
      </c>
      <c r="AD39" s="298"/>
      <c r="AE39" s="298"/>
      <c r="AF39" s="298"/>
      <c r="AG39" s="298"/>
      <c r="AH39" s="298"/>
      <c r="AI39" s="298"/>
      <c r="AJ39" s="298"/>
      <c r="AK39" s="298"/>
      <c r="AL39" s="298"/>
      <c r="AM39" s="301"/>
      <c r="AN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</row>
    <row r="40" spans="3:56" ht="12.75">
      <c r="C40" s="155" t="s">
        <v>164</v>
      </c>
      <c r="D40" s="203"/>
      <c r="E40" s="149"/>
      <c r="F40" s="150"/>
      <c r="G40" s="150"/>
      <c r="H40" s="123"/>
      <c r="I40" s="151"/>
      <c r="J40" s="152"/>
      <c r="K40" s="153"/>
      <c r="L40" s="200"/>
      <c r="M40" s="153"/>
      <c r="N40" s="153"/>
      <c r="O40" s="153"/>
      <c r="P40" s="154"/>
      <c r="Q40" s="127"/>
      <c r="R40" s="127"/>
      <c r="S40" s="127"/>
      <c r="T40" s="171">
        <f t="shared" si="9"/>
        <v>0</v>
      </c>
      <c r="U40" s="154">
        <v>0</v>
      </c>
      <c r="V40" s="236">
        <f t="shared" si="10"/>
        <v>0</v>
      </c>
      <c r="W40" s="127"/>
      <c r="X40" s="127"/>
      <c r="Y40" s="128"/>
      <c r="Z40" s="168">
        <f t="shared" si="11"/>
        <v>0</v>
      </c>
      <c r="AB40" s="88">
        <f t="shared" si="3"/>
        <v>0</v>
      </c>
      <c r="AD40" s="298"/>
      <c r="AE40" s="298"/>
      <c r="AF40" s="298"/>
      <c r="AG40" s="298"/>
      <c r="AH40" s="298"/>
      <c r="AI40" s="298"/>
      <c r="AJ40" s="298"/>
      <c r="AK40" s="298"/>
      <c r="AL40" s="298"/>
      <c r="AM40" s="301"/>
      <c r="AN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</row>
    <row r="41" spans="3:56" ht="12.75">
      <c r="C41" s="155" t="s">
        <v>165</v>
      </c>
      <c r="D41" s="203"/>
      <c r="E41" s="149"/>
      <c r="F41" s="150">
        <v>2.203</v>
      </c>
      <c r="G41" s="150"/>
      <c r="H41" s="123"/>
      <c r="I41" s="151"/>
      <c r="J41" s="152"/>
      <c r="K41" s="153">
        <v>0.042</v>
      </c>
      <c r="L41" s="200"/>
      <c r="M41" s="153">
        <v>0.002</v>
      </c>
      <c r="N41" s="153">
        <v>0.03</v>
      </c>
      <c r="O41" s="153">
        <v>0.04</v>
      </c>
      <c r="P41" s="153">
        <v>0.04</v>
      </c>
      <c r="Q41" s="127">
        <v>0.04</v>
      </c>
      <c r="R41" s="127">
        <v>0.06</v>
      </c>
      <c r="S41" s="127">
        <v>0.65</v>
      </c>
      <c r="T41" s="171">
        <f t="shared" si="9"/>
        <v>0.904</v>
      </c>
      <c r="U41" s="154">
        <v>0.893</v>
      </c>
      <c r="V41" s="236">
        <f t="shared" si="10"/>
        <v>0.01100000000000001</v>
      </c>
      <c r="W41" s="127">
        <v>0.65</v>
      </c>
      <c r="X41" s="127">
        <v>0.649</v>
      </c>
      <c r="Y41" s="128"/>
      <c r="Z41" s="168">
        <f t="shared" si="11"/>
        <v>2.203</v>
      </c>
      <c r="AB41" s="88">
        <f t="shared" si="3"/>
        <v>0</v>
      </c>
      <c r="AD41" s="298"/>
      <c r="AE41" s="298"/>
      <c r="AF41" s="298"/>
      <c r="AG41" s="298"/>
      <c r="AH41" s="298"/>
      <c r="AI41" s="298"/>
      <c r="AJ41" s="298"/>
      <c r="AK41" s="298"/>
      <c r="AL41" s="298"/>
      <c r="AM41" s="301"/>
      <c r="AN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</row>
    <row r="42" spans="3:56" ht="12.75">
      <c r="C42" s="155" t="s">
        <v>166</v>
      </c>
      <c r="D42" s="203"/>
      <c r="E42" s="149"/>
      <c r="F42" s="150">
        <v>0.249</v>
      </c>
      <c r="G42" s="150"/>
      <c r="H42" s="123"/>
      <c r="I42" s="151"/>
      <c r="J42" s="152"/>
      <c r="K42" s="153">
        <v>0.05</v>
      </c>
      <c r="L42" s="200">
        <v>0.01</v>
      </c>
      <c r="M42" s="153">
        <v>0.01</v>
      </c>
      <c r="N42" s="153">
        <v>0.01</v>
      </c>
      <c r="O42" s="153">
        <v>0.01</v>
      </c>
      <c r="P42" s="153">
        <v>0.01</v>
      </c>
      <c r="Q42" s="153">
        <v>0.02</v>
      </c>
      <c r="R42" s="153">
        <v>0.02</v>
      </c>
      <c r="S42" s="153">
        <v>0.035</v>
      </c>
      <c r="T42" s="171">
        <f t="shared" si="9"/>
        <v>0.175</v>
      </c>
      <c r="U42" s="154">
        <v>0.156</v>
      </c>
      <c r="V42" s="236">
        <f t="shared" si="10"/>
        <v>0.01899999999999999</v>
      </c>
      <c r="W42" s="153">
        <v>0.035</v>
      </c>
      <c r="X42" s="153">
        <v>0.039</v>
      </c>
      <c r="Y42" s="128"/>
      <c r="Z42" s="168">
        <f t="shared" si="11"/>
        <v>0.249</v>
      </c>
      <c r="AB42" s="88">
        <f t="shared" si="3"/>
        <v>0</v>
      </c>
      <c r="AD42" s="298"/>
      <c r="AE42" s="298"/>
      <c r="AF42" s="298"/>
      <c r="AG42" s="298"/>
      <c r="AH42" s="298"/>
      <c r="AI42" s="298"/>
      <c r="AJ42" s="298"/>
      <c r="AK42" s="298"/>
      <c r="AL42" s="298"/>
      <c r="AM42" s="301"/>
      <c r="AN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</row>
    <row r="43" spans="3:56" ht="12.75">
      <c r="C43" s="155" t="s">
        <v>167</v>
      </c>
      <c r="D43" s="203"/>
      <c r="E43" s="149"/>
      <c r="F43" s="150">
        <v>0.416</v>
      </c>
      <c r="G43" s="150"/>
      <c r="H43" s="123"/>
      <c r="I43" s="151"/>
      <c r="J43" s="152"/>
      <c r="K43" s="153"/>
      <c r="L43" s="200">
        <v>0.01</v>
      </c>
      <c r="M43" s="153"/>
      <c r="N43" s="153"/>
      <c r="O43" s="153"/>
      <c r="P43" s="154"/>
      <c r="Q43" s="127">
        <v>0.02</v>
      </c>
      <c r="R43" s="127">
        <v>0.04</v>
      </c>
      <c r="S43" s="127">
        <v>0.13</v>
      </c>
      <c r="T43" s="171">
        <f t="shared" si="9"/>
        <v>0.2</v>
      </c>
      <c r="U43" s="154">
        <v>0.447</v>
      </c>
      <c r="V43" s="236">
        <f t="shared" si="10"/>
        <v>-0.247</v>
      </c>
      <c r="W43" s="127">
        <v>0.13</v>
      </c>
      <c r="X43" s="127">
        <v>0.086</v>
      </c>
      <c r="Y43" s="128"/>
      <c r="Z43" s="168">
        <f t="shared" si="11"/>
        <v>0.41600000000000004</v>
      </c>
      <c r="AB43" s="88">
        <f t="shared" si="3"/>
        <v>0</v>
      </c>
      <c r="AD43" s="298"/>
      <c r="AE43" s="298"/>
      <c r="AF43" s="298"/>
      <c r="AG43" s="298"/>
      <c r="AH43" s="298"/>
      <c r="AI43" s="298"/>
      <c r="AJ43" s="298"/>
      <c r="AK43" s="298"/>
      <c r="AL43" s="298"/>
      <c r="AM43" s="301"/>
      <c r="AN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</row>
    <row r="44" spans="3:56" ht="12.75">
      <c r="C44" s="155" t="s">
        <v>168</v>
      </c>
      <c r="D44" s="203"/>
      <c r="E44" s="149"/>
      <c r="F44" s="150">
        <v>0.302</v>
      </c>
      <c r="G44" s="150"/>
      <c r="H44" s="123"/>
      <c r="I44" s="151"/>
      <c r="J44" s="152"/>
      <c r="K44" s="153">
        <v>0.002</v>
      </c>
      <c r="L44" s="200"/>
      <c r="M44" s="153">
        <v>0.028</v>
      </c>
      <c r="N44" s="153">
        <v>0.03</v>
      </c>
      <c r="O44" s="153">
        <v>0.05</v>
      </c>
      <c r="P44" s="153">
        <v>0.07</v>
      </c>
      <c r="Q44" s="127">
        <v>0.07</v>
      </c>
      <c r="R44" s="127">
        <v>0.052</v>
      </c>
      <c r="S44" s="127"/>
      <c r="T44" s="171">
        <f t="shared" si="9"/>
        <v>0.302</v>
      </c>
      <c r="U44" s="154">
        <v>0.081</v>
      </c>
      <c r="V44" s="236">
        <f t="shared" si="10"/>
        <v>0.22099999999999997</v>
      </c>
      <c r="W44" s="127"/>
      <c r="X44" s="127"/>
      <c r="Y44" s="128"/>
      <c r="Z44" s="168">
        <f t="shared" si="11"/>
        <v>0.302</v>
      </c>
      <c r="AB44" s="88">
        <f t="shared" si="3"/>
        <v>0</v>
      </c>
      <c r="AD44" s="298"/>
      <c r="AE44" s="298"/>
      <c r="AF44" s="298"/>
      <c r="AG44" s="298"/>
      <c r="AH44" s="298"/>
      <c r="AI44" s="298"/>
      <c r="AJ44" s="298"/>
      <c r="AK44" s="298"/>
      <c r="AL44" s="298"/>
      <c r="AM44" s="301"/>
      <c r="AN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</row>
    <row r="45" spans="3:56" ht="12.75">
      <c r="C45" s="155" t="s">
        <v>169</v>
      </c>
      <c r="D45" s="203"/>
      <c r="E45" s="149"/>
      <c r="F45" s="150">
        <v>0.01</v>
      </c>
      <c r="G45" s="150"/>
      <c r="H45" s="123"/>
      <c r="I45" s="151"/>
      <c r="J45" s="152"/>
      <c r="K45" s="153"/>
      <c r="L45" s="200"/>
      <c r="M45" s="153"/>
      <c r="N45" s="153"/>
      <c r="O45" s="153"/>
      <c r="P45" s="154"/>
      <c r="Q45" s="127"/>
      <c r="R45" s="127"/>
      <c r="S45" s="127"/>
      <c r="T45" s="171">
        <f t="shared" si="9"/>
        <v>0</v>
      </c>
      <c r="U45" s="154">
        <v>0.044</v>
      </c>
      <c r="V45" s="236">
        <f t="shared" si="10"/>
        <v>-0.044</v>
      </c>
      <c r="W45" s="127"/>
      <c r="X45" s="127">
        <v>0.01</v>
      </c>
      <c r="Y45" s="128"/>
      <c r="Z45" s="168">
        <f t="shared" si="11"/>
        <v>0.01</v>
      </c>
      <c r="AB45" s="88">
        <f t="shared" si="3"/>
        <v>0</v>
      </c>
      <c r="AD45" s="298"/>
      <c r="AE45" s="298"/>
      <c r="AF45" s="298"/>
      <c r="AG45" s="298"/>
      <c r="AH45" s="298"/>
      <c r="AI45" s="298"/>
      <c r="AJ45" s="298"/>
      <c r="AK45" s="298"/>
      <c r="AL45" s="298"/>
      <c r="AM45" s="301"/>
      <c r="AN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</row>
    <row r="46" spans="3:56" ht="12.75">
      <c r="C46" s="155" t="s">
        <v>170</v>
      </c>
      <c r="D46" s="203"/>
      <c r="E46" s="149"/>
      <c r="F46" s="150">
        <v>0</v>
      </c>
      <c r="G46" s="150"/>
      <c r="H46" s="123"/>
      <c r="I46" s="151"/>
      <c r="J46" s="152"/>
      <c r="K46" s="153"/>
      <c r="L46" s="200"/>
      <c r="M46" s="153"/>
      <c r="N46" s="153"/>
      <c r="O46" s="153"/>
      <c r="P46" s="154"/>
      <c r="Q46" s="127"/>
      <c r="R46" s="127"/>
      <c r="S46" s="127"/>
      <c r="T46" s="171">
        <f t="shared" si="9"/>
        <v>0</v>
      </c>
      <c r="U46" s="154">
        <v>0</v>
      </c>
      <c r="V46" s="236">
        <f t="shared" si="10"/>
        <v>0</v>
      </c>
      <c r="W46" s="127"/>
      <c r="X46" s="127"/>
      <c r="Y46" s="128"/>
      <c r="Z46" s="168">
        <f t="shared" si="11"/>
        <v>0</v>
      </c>
      <c r="AB46" s="88">
        <f t="shared" si="3"/>
        <v>0</v>
      </c>
      <c r="AD46" s="298"/>
      <c r="AE46" s="298"/>
      <c r="AF46" s="298"/>
      <c r="AG46" s="298"/>
      <c r="AH46" s="298"/>
      <c r="AI46" s="298"/>
      <c r="AJ46" s="298"/>
      <c r="AK46" s="298"/>
      <c r="AL46" s="298"/>
      <c r="AM46" s="301"/>
      <c r="AN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</row>
    <row r="47" spans="3:56" ht="12.75">
      <c r="C47" s="155" t="s">
        <v>171</v>
      </c>
      <c r="D47" s="203"/>
      <c r="E47" s="149"/>
      <c r="F47" s="150">
        <v>0.783</v>
      </c>
      <c r="G47" s="150"/>
      <c r="H47" s="123"/>
      <c r="I47" s="151"/>
      <c r="J47" s="152"/>
      <c r="K47" s="153">
        <v>0.077</v>
      </c>
      <c r="L47" s="200">
        <v>0.15</v>
      </c>
      <c r="M47" s="153">
        <v>0.15</v>
      </c>
      <c r="N47" s="153">
        <v>0.2</v>
      </c>
      <c r="O47" s="153">
        <v>0.206</v>
      </c>
      <c r="P47" s="153"/>
      <c r="Q47" s="153"/>
      <c r="R47" s="153"/>
      <c r="S47" s="153"/>
      <c r="T47" s="171">
        <f t="shared" si="9"/>
        <v>0.7829999999999999</v>
      </c>
      <c r="U47" s="154">
        <v>0.961</v>
      </c>
      <c r="V47" s="236">
        <f t="shared" si="10"/>
        <v>-0.17800000000000005</v>
      </c>
      <c r="W47" s="153"/>
      <c r="X47" s="153"/>
      <c r="Y47" s="128"/>
      <c r="Z47" s="168">
        <f t="shared" si="11"/>
        <v>0.7829999999999999</v>
      </c>
      <c r="AB47" s="88">
        <f t="shared" si="3"/>
        <v>0</v>
      </c>
      <c r="AD47" s="298"/>
      <c r="AE47" s="298"/>
      <c r="AF47" s="298"/>
      <c r="AG47" s="298"/>
      <c r="AH47" s="298"/>
      <c r="AI47" s="298"/>
      <c r="AJ47" s="298"/>
      <c r="AK47" s="298"/>
      <c r="AL47" s="298"/>
      <c r="AM47" s="301"/>
      <c r="AN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</row>
    <row r="48" spans="3:56" ht="12.75">
      <c r="C48" s="155" t="s">
        <v>172</v>
      </c>
      <c r="D48" s="203"/>
      <c r="E48" s="149"/>
      <c r="F48" s="150">
        <v>0.072</v>
      </c>
      <c r="G48" s="150"/>
      <c r="H48" s="123"/>
      <c r="I48" s="151"/>
      <c r="J48" s="152"/>
      <c r="K48" s="153">
        <v>0.003</v>
      </c>
      <c r="L48" s="200"/>
      <c r="M48" s="153"/>
      <c r="N48" s="153">
        <v>0.049</v>
      </c>
      <c r="O48" s="153"/>
      <c r="P48" s="154"/>
      <c r="Q48" s="127"/>
      <c r="R48" s="127"/>
      <c r="S48" s="127"/>
      <c r="T48" s="171">
        <f t="shared" si="9"/>
        <v>0.052000000000000005</v>
      </c>
      <c r="U48" s="154">
        <v>0.097</v>
      </c>
      <c r="V48" s="236">
        <f t="shared" si="10"/>
        <v>-0.045</v>
      </c>
      <c r="W48" s="127"/>
      <c r="X48" s="153">
        <v>0.02</v>
      </c>
      <c r="Y48" s="128"/>
      <c r="Z48" s="168">
        <f t="shared" si="11"/>
        <v>0.07200000000000001</v>
      </c>
      <c r="AB48" s="88">
        <f t="shared" si="3"/>
        <v>0</v>
      </c>
      <c r="AD48" s="298"/>
      <c r="AE48" s="298"/>
      <c r="AF48" s="298"/>
      <c r="AG48" s="298"/>
      <c r="AH48" s="298"/>
      <c r="AI48" s="298"/>
      <c r="AJ48" s="298"/>
      <c r="AK48" s="298"/>
      <c r="AL48" s="298"/>
      <c r="AM48" s="301"/>
      <c r="AN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</row>
    <row r="49" spans="3:56" ht="12.75">
      <c r="C49" s="155" t="s">
        <v>173</v>
      </c>
      <c r="D49" s="203"/>
      <c r="E49" s="149"/>
      <c r="F49" s="150">
        <v>0.624</v>
      </c>
      <c r="G49" s="150"/>
      <c r="H49" s="123"/>
      <c r="I49" s="151"/>
      <c r="J49" s="152"/>
      <c r="K49" s="153"/>
      <c r="L49" s="200">
        <v>0.011</v>
      </c>
      <c r="M49" s="153">
        <v>0.02</v>
      </c>
      <c r="N49" s="153">
        <v>0.05</v>
      </c>
      <c r="O49" s="153">
        <v>0.1</v>
      </c>
      <c r="P49" s="153">
        <v>0.1</v>
      </c>
      <c r="Q49" s="127">
        <v>0.1</v>
      </c>
      <c r="R49" s="127">
        <v>0.1</v>
      </c>
      <c r="S49" s="127">
        <v>0.1</v>
      </c>
      <c r="T49" s="171">
        <f t="shared" si="9"/>
        <v>0.581</v>
      </c>
      <c r="U49" s="154">
        <v>1.118</v>
      </c>
      <c r="V49" s="236">
        <f t="shared" si="10"/>
        <v>-0.5370000000000001</v>
      </c>
      <c r="W49" s="127">
        <v>0.043</v>
      </c>
      <c r="X49" s="127"/>
      <c r="Y49" s="128"/>
      <c r="Z49" s="168">
        <f t="shared" si="11"/>
        <v>0.624</v>
      </c>
      <c r="AB49" s="88">
        <f t="shared" si="3"/>
        <v>0</v>
      </c>
      <c r="AD49" s="298"/>
      <c r="AE49" s="298"/>
      <c r="AF49" s="298"/>
      <c r="AG49" s="298"/>
      <c r="AH49" s="298"/>
      <c r="AI49" s="298"/>
      <c r="AJ49" s="298"/>
      <c r="AK49" s="298"/>
      <c r="AL49" s="298"/>
      <c r="AM49" s="301"/>
      <c r="AN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</row>
    <row r="50" spans="3:56" ht="12.75">
      <c r="C50" s="155" t="s">
        <v>174</v>
      </c>
      <c r="D50" s="203"/>
      <c r="E50" s="149"/>
      <c r="F50" s="150">
        <v>0.15</v>
      </c>
      <c r="G50" s="150"/>
      <c r="H50" s="123"/>
      <c r="I50" s="151"/>
      <c r="J50" s="152"/>
      <c r="K50" s="153"/>
      <c r="L50" s="200"/>
      <c r="M50" s="153"/>
      <c r="N50" s="153"/>
      <c r="O50" s="153"/>
      <c r="P50" s="154"/>
      <c r="Q50" s="127">
        <v>0.02</v>
      </c>
      <c r="R50" s="127">
        <v>0.03</v>
      </c>
      <c r="S50" s="127">
        <v>0.05</v>
      </c>
      <c r="T50" s="171">
        <f t="shared" si="9"/>
        <v>0.1</v>
      </c>
      <c r="U50" s="154">
        <v>0.091</v>
      </c>
      <c r="V50" s="236">
        <f t="shared" si="10"/>
        <v>0.009000000000000008</v>
      </c>
      <c r="W50" s="127">
        <v>0.05</v>
      </c>
      <c r="X50" s="127"/>
      <c r="Y50" s="128"/>
      <c r="Z50" s="168">
        <f t="shared" si="11"/>
        <v>0.15000000000000002</v>
      </c>
      <c r="AB50" s="88">
        <f t="shared" si="3"/>
        <v>0</v>
      </c>
      <c r="AD50" s="298"/>
      <c r="AE50" s="298"/>
      <c r="AF50" s="298"/>
      <c r="AG50" s="298"/>
      <c r="AH50" s="298"/>
      <c r="AI50" s="298"/>
      <c r="AJ50" s="298"/>
      <c r="AK50" s="298"/>
      <c r="AL50" s="298"/>
      <c r="AM50" s="301"/>
      <c r="AN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</row>
    <row r="51" spans="3:56" ht="12.75">
      <c r="C51" s="156" t="s">
        <v>175</v>
      </c>
      <c r="D51" s="253"/>
      <c r="E51" s="149"/>
      <c r="F51" s="150">
        <f>0.003+0.11+0.055</f>
        <v>0.168</v>
      </c>
      <c r="G51" s="150"/>
      <c r="H51" s="123"/>
      <c r="I51" s="151"/>
      <c r="J51" s="152"/>
      <c r="K51" s="153"/>
      <c r="L51" s="200"/>
      <c r="M51" s="153"/>
      <c r="N51" s="153"/>
      <c r="O51" s="153"/>
      <c r="P51" s="153"/>
      <c r="Q51" s="127">
        <v>0.05</v>
      </c>
      <c r="R51" s="127">
        <v>0.05</v>
      </c>
      <c r="S51" s="127">
        <v>0.05</v>
      </c>
      <c r="T51" s="171">
        <f t="shared" si="9"/>
        <v>0.15000000000000002</v>
      </c>
      <c r="U51" s="154">
        <v>0</v>
      </c>
      <c r="V51" s="236">
        <f t="shared" si="10"/>
        <v>0.15000000000000002</v>
      </c>
      <c r="W51" s="127">
        <v>0.018</v>
      </c>
      <c r="X51" s="127"/>
      <c r="Y51" s="128"/>
      <c r="Z51" s="168">
        <f t="shared" si="11"/>
        <v>0.168</v>
      </c>
      <c r="AB51" s="88">
        <f t="shared" si="3"/>
        <v>0</v>
      </c>
      <c r="AD51" s="298"/>
      <c r="AE51" s="298"/>
      <c r="AF51" s="298"/>
      <c r="AG51" s="298"/>
      <c r="AH51" s="298"/>
      <c r="AI51" s="298"/>
      <c r="AJ51" s="298"/>
      <c r="AK51" s="298"/>
      <c r="AL51" s="298"/>
      <c r="AM51" s="301"/>
      <c r="AN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</row>
    <row r="52" spans="3:56" ht="12.75">
      <c r="C52" s="157" t="s">
        <v>176</v>
      </c>
      <c r="D52" s="254"/>
      <c r="E52" s="149"/>
      <c r="F52" s="150">
        <v>0.601</v>
      </c>
      <c r="G52" s="150"/>
      <c r="H52" s="123"/>
      <c r="I52" s="151"/>
      <c r="J52" s="152"/>
      <c r="K52" s="153"/>
      <c r="L52" s="200"/>
      <c r="M52" s="153"/>
      <c r="N52" s="153"/>
      <c r="O52" s="153">
        <v>0.048</v>
      </c>
      <c r="P52" s="153">
        <v>0.08</v>
      </c>
      <c r="Q52" s="153">
        <v>0.08</v>
      </c>
      <c r="R52" s="88">
        <v>0.09</v>
      </c>
      <c r="S52" s="127">
        <v>0.118</v>
      </c>
      <c r="T52" s="171">
        <f t="shared" si="9"/>
        <v>0.41600000000000004</v>
      </c>
      <c r="U52" s="154">
        <v>0.61</v>
      </c>
      <c r="V52" s="236">
        <f t="shared" si="10"/>
        <v>-0.19399999999999995</v>
      </c>
      <c r="W52" s="127">
        <v>0.065</v>
      </c>
      <c r="X52" s="127">
        <v>0.12</v>
      </c>
      <c r="Y52" s="128"/>
      <c r="Z52" s="168">
        <f t="shared" si="11"/>
        <v>0.601</v>
      </c>
      <c r="AB52" s="88">
        <f t="shared" si="3"/>
        <v>0</v>
      </c>
      <c r="AD52" s="298"/>
      <c r="AE52" s="298"/>
      <c r="AF52" s="298"/>
      <c r="AG52" s="298"/>
      <c r="AH52" s="298"/>
      <c r="AI52" s="298"/>
      <c r="AJ52" s="298"/>
      <c r="AK52" s="298"/>
      <c r="AL52" s="298"/>
      <c r="AM52" s="301"/>
      <c r="AN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</row>
    <row r="53" spans="3:56" ht="12.75">
      <c r="C53" s="156" t="s">
        <v>177</v>
      </c>
      <c r="D53" s="253"/>
      <c r="E53" s="149"/>
      <c r="F53" s="150"/>
      <c r="G53" s="150"/>
      <c r="H53" s="123"/>
      <c r="I53" s="151"/>
      <c r="J53" s="152"/>
      <c r="K53" s="153"/>
      <c r="L53" s="200"/>
      <c r="M53" s="153"/>
      <c r="N53" s="153"/>
      <c r="O53" s="153"/>
      <c r="P53" s="154"/>
      <c r="Q53" s="127"/>
      <c r="R53" s="127"/>
      <c r="S53" s="127"/>
      <c r="T53" s="171">
        <f t="shared" si="9"/>
        <v>0</v>
      </c>
      <c r="U53" s="154">
        <v>0</v>
      </c>
      <c r="V53" s="236">
        <f t="shared" si="10"/>
        <v>0</v>
      </c>
      <c r="W53" s="127"/>
      <c r="X53" s="127"/>
      <c r="Y53" s="128"/>
      <c r="Z53" s="168">
        <f t="shared" si="11"/>
        <v>0</v>
      </c>
      <c r="AB53" s="88">
        <f t="shared" si="3"/>
        <v>0</v>
      </c>
      <c r="AD53" s="298"/>
      <c r="AE53" s="298"/>
      <c r="AF53" s="298"/>
      <c r="AG53" s="298"/>
      <c r="AH53" s="298"/>
      <c r="AI53" s="298"/>
      <c r="AJ53" s="298"/>
      <c r="AK53" s="298"/>
      <c r="AL53" s="298"/>
      <c r="AM53" s="301"/>
      <c r="AN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</row>
    <row r="54" spans="3:56" ht="12.75">
      <c r="C54" s="156" t="s">
        <v>178</v>
      </c>
      <c r="D54" s="253"/>
      <c r="E54" s="149"/>
      <c r="F54" s="150">
        <v>0</v>
      </c>
      <c r="G54" s="150"/>
      <c r="H54" s="123"/>
      <c r="I54" s="151"/>
      <c r="J54" s="152"/>
      <c r="K54" s="153"/>
      <c r="L54" s="200"/>
      <c r="M54" s="153"/>
      <c r="N54" s="153"/>
      <c r="O54" s="153"/>
      <c r="P54" s="154"/>
      <c r="Q54" s="127"/>
      <c r="R54" s="127"/>
      <c r="S54" s="127"/>
      <c r="T54" s="171">
        <f t="shared" si="9"/>
        <v>0</v>
      </c>
      <c r="U54" s="154">
        <v>0</v>
      </c>
      <c r="V54" s="236">
        <f t="shared" si="10"/>
        <v>0</v>
      </c>
      <c r="W54" s="127"/>
      <c r="X54" s="127"/>
      <c r="Y54" s="128"/>
      <c r="Z54" s="168">
        <f t="shared" si="11"/>
        <v>0</v>
      </c>
      <c r="AB54" s="88">
        <f t="shared" si="3"/>
        <v>0</v>
      </c>
      <c r="AD54" s="298"/>
      <c r="AE54" s="298"/>
      <c r="AF54" s="298"/>
      <c r="AG54" s="298"/>
      <c r="AH54" s="298"/>
      <c r="AI54" s="298"/>
      <c r="AJ54" s="298"/>
      <c r="AK54" s="298"/>
      <c r="AL54" s="298"/>
      <c r="AM54" s="301"/>
      <c r="AN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</row>
    <row r="55" spans="3:56" ht="12.75">
      <c r="C55" s="156" t="s">
        <v>467</v>
      </c>
      <c r="D55" s="253"/>
      <c r="E55" s="203"/>
      <c r="F55" s="204">
        <v>0.609</v>
      </c>
      <c r="G55" s="204"/>
      <c r="H55" s="205"/>
      <c r="I55" s="206"/>
      <c r="J55" s="207"/>
      <c r="K55" s="208"/>
      <c r="L55" s="220"/>
      <c r="M55" s="208"/>
      <c r="N55" s="208"/>
      <c r="O55" s="208"/>
      <c r="P55" s="209"/>
      <c r="Q55" s="210"/>
      <c r="R55" s="210"/>
      <c r="S55" s="210">
        <v>0.203</v>
      </c>
      <c r="T55" s="171">
        <f t="shared" si="9"/>
        <v>0.203</v>
      </c>
      <c r="U55" s="154"/>
      <c r="V55" s="236">
        <f t="shared" si="10"/>
        <v>0.203</v>
      </c>
      <c r="W55" s="210">
        <v>0.203</v>
      </c>
      <c r="X55" s="210">
        <v>0.203</v>
      </c>
      <c r="Z55" s="168">
        <f t="shared" si="11"/>
        <v>0.609</v>
      </c>
      <c r="AB55" s="88">
        <f t="shared" si="3"/>
        <v>0</v>
      </c>
      <c r="AD55" s="298"/>
      <c r="AE55" s="298"/>
      <c r="AF55" s="298"/>
      <c r="AG55" s="298"/>
      <c r="AH55" s="298"/>
      <c r="AI55" s="298"/>
      <c r="AJ55" s="298"/>
      <c r="AK55" s="298"/>
      <c r="AL55" s="298"/>
      <c r="AM55" s="301"/>
      <c r="AN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</row>
    <row r="56" spans="3:56" ht="12.75">
      <c r="C56" s="156" t="s">
        <v>496</v>
      </c>
      <c r="D56" s="253"/>
      <c r="E56" s="203"/>
      <c r="F56" s="204">
        <v>0.576</v>
      </c>
      <c r="G56" s="204"/>
      <c r="H56" s="205"/>
      <c r="I56" s="206"/>
      <c r="J56" s="207"/>
      <c r="K56" s="208"/>
      <c r="L56" s="220"/>
      <c r="M56" s="208"/>
      <c r="N56" s="208"/>
      <c r="O56" s="208"/>
      <c r="P56" s="209"/>
      <c r="Q56" s="210"/>
      <c r="R56" s="210"/>
      <c r="S56" s="210">
        <v>0.191</v>
      </c>
      <c r="T56" s="171">
        <f t="shared" si="9"/>
        <v>0.191</v>
      </c>
      <c r="U56" s="154"/>
      <c r="V56" s="236">
        <f t="shared" si="10"/>
        <v>0.191</v>
      </c>
      <c r="W56" s="210">
        <v>0.191</v>
      </c>
      <c r="X56" s="210">
        <v>0.194</v>
      </c>
      <c r="Z56" s="168">
        <f t="shared" si="11"/>
        <v>0.5760000000000001</v>
      </c>
      <c r="AB56" s="88">
        <f t="shared" si="3"/>
        <v>0</v>
      </c>
      <c r="AD56" s="298"/>
      <c r="AE56" s="298"/>
      <c r="AF56" s="298"/>
      <c r="AG56" s="298"/>
      <c r="AH56" s="298"/>
      <c r="AI56" s="298"/>
      <c r="AJ56" s="298"/>
      <c r="AK56" s="298"/>
      <c r="AL56" s="298"/>
      <c r="AM56" s="301"/>
      <c r="AN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</row>
    <row r="57" spans="3:57" ht="13.5" thickBot="1">
      <c r="C57" s="155" t="s">
        <v>495</v>
      </c>
      <c r="D57" s="203"/>
      <c r="E57" s="203"/>
      <c r="F57" s="204">
        <v>-0.163</v>
      </c>
      <c r="G57" s="204"/>
      <c r="H57" s="205"/>
      <c r="I57" s="206"/>
      <c r="J57" s="207">
        <v>-0.163</v>
      </c>
      <c r="K57" s="208"/>
      <c r="L57" s="220"/>
      <c r="M57" s="208"/>
      <c r="N57" s="208"/>
      <c r="O57" s="208"/>
      <c r="P57" s="209"/>
      <c r="Q57" s="210"/>
      <c r="R57" s="210"/>
      <c r="S57" s="210"/>
      <c r="T57" s="171">
        <f t="shared" si="9"/>
        <v>-0.163</v>
      </c>
      <c r="U57" s="154">
        <v>0</v>
      </c>
      <c r="V57" s="236">
        <f t="shared" si="10"/>
        <v>-0.163</v>
      </c>
      <c r="W57" s="210"/>
      <c r="X57" s="204"/>
      <c r="Z57" s="168">
        <f t="shared" si="11"/>
        <v>-0.163</v>
      </c>
      <c r="AB57" s="88">
        <f t="shared" si="3"/>
        <v>0</v>
      </c>
      <c r="AD57" s="299">
        <v>4.574</v>
      </c>
      <c r="AE57" s="299"/>
      <c r="AF57" s="299"/>
      <c r="AG57" s="299">
        <v>0.226</v>
      </c>
      <c r="AH57" s="299"/>
      <c r="AI57" s="299"/>
      <c r="AJ57" s="299">
        <f>SUM(AP57:BD57)</f>
        <v>12.353000000000002</v>
      </c>
      <c r="AK57" s="299"/>
      <c r="AL57" s="299"/>
      <c r="AM57" s="302"/>
      <c r="AN57" s="302">
        <f>SUM(AD57:AM57)</f>
        <v>17.153000000000002</v>
      </c>
      <c r="AP57" s="302"/>
      <c r="AQ57" s="302"/>
      <c r="AR57" s="302"/>
      <c r="AS57" s="302"/>
      <c r="AT57" s="302"/>
      <c r="AU57" s="302"/>
      <c r="AV57" s="302">
        <v>0.75</v>
      </c>
      <c r="AW57" s="302">
        <v>0.796</v>
      </c>
      <c r="AX57" s="302">
        <v>0.298</v>
      </c>
      <c r="AY57" s="302">
        <v>0.125</v>
      </c>
      <c r="AZ57" s="302"/>
      <c r="BA57" s="302">
        <v>1.578</v>
      </c>
      <c r="BB57" s="302">
        <v>8.035</v>
      </c>
      <c r="BC57" s="302"/>
      <c r="BD57" s="302">
        <f>0.7+0.071</f>
        <v>0.7709999999999999</v>
      </c>
      <c r="BE57" s="98" t="s">
        <v>523</v>
      </c>
    </row>
    <row r="58" spans="3:56" ht="12.75">
      <c r="C58" s="155"/>
      <c r="D58" s="203"/>
      <c r="E58" s="159"/>
      <c r="F58" s="160">
        <f>SUM(F37:F57)</f>
        <v>8.803</v>
      </c>
      <c r="G58" s="161"/>
      <c r="H58" s="114"/>
      <c r="I58" s="162"/>
      <c r="J58" s="160">
        <f aca="true" t="shared" si="12" ref="J58:P58">SUM(J37:J56)</f>
        <v>0</v>
      </c>
      <c r="K58" s="160">
        <f t="shared" si="12"/>
        <v>0.324</v>
      </c>
      <c r="L58" s="160">
        <f t="shared" si="12"/>
        <v>0.281</v>
      </c>
      <c r="M58" s="160">
        <f t="shared" si="12"/>
        <v>0.31000000000000005</v>
      </c>
      <c r="N58" s="160">
        <f t="shared" si="12"/>
        <v>0.469</v>
      </c>
      <c r="O58" s="160">
        <f t="shared" si="12"/>
        <v>0.554</v>
      </c>
      <c r="P58" s="160">
        <f t="shared" si="12"/>
        <v>0.4000000000000001</v>
      </c>
      <c r="Q58" s="147">
        <f>SUM(Q37:Q54)</f>
        <v>0.5</v>
      </c>
      <c r="R58" s="147">
        <f>SUM(R37:R54)</f>
        <v>0.542</v>
      </c>
      <c r="S58" s="147">
        <f>SUM(S37:S56)</f>
        <v>1.9580000000000002</v>
      </c>
      <c r="T58" s="278">
        <f>SUM(T37:T57)</f>
        <v>5.175000000000001</v>
      </c>
      <c r="U58" s="240">
        <f>SUM(U37:U54)</f>
        <v>5.974000000000001</v>
      </c>
      <c r="V58" s="241">
        <f>SUM(V37:V57)</f>
        <v>-0.7990000000000002</v>
      </c>
      <c r="W58" s="147">
        <f>SUM(W37:W55)</f>
        <v>1.6840000000000002</v>
      </c>
      <c r="X58" s="147">
        <f>SUM(X37:X57)</f>
        <v>1.753</v>
      </c>
      <c r="Y58" s="118"/>
      <c r="Z58" s="168">
        <f>SUM(Z37:Z57)</f>
        <v>8.802999999999999</v>
      </c>
      <c r="AB58" s="88">
        <f t="shared" si="3"/>
        <v>0</v>
      </c>
      <c r="AD58" s="88">
        <f>SUM(AD37:AD57)</f>
        <v>4.574</v>
      </c>
      <c r="AE58" s="88">
        <f aca="true" t="shared" si="13" ref="AE58:AP58">SUM(AE37:AE57)</f>
        <v>0</v>
      </c>
      <c r="AF58" s="88">
        <f t="shared" si="13"/>
        <v>0</v>
      </c>
      <c r="AG58" s="88">
        <f t="shared" si="13"/>
        <v>0.226</v>
      </c>
      <c r="AH58" s="88">
        <f t="shared" si="13"/>
        <v>0</v>
      </c>
      <c r="AI58" s="88">
        <f t="shared" si="13"/>
        <v>0</v>
      </c>
      <c r="AJ58" s="88">
        <f t="shared" si="13"/>
        <v>12.353000000000002</v>
      </c>
      <c r="AK58" s="88">
        <f t="shared" si="13"/>
        <v>0</v>
      </c>
      <c r="AL58" s="88">
        <f t="shared" si="13"/>
        <v>0</v>
      </c>
      <c r="AM58" s="88">
        <f t="shared" si="13"/>
        <v>0</v>
      </c>
      <c r="AN58" s="88">
        <f t="shared" si="13"/>
        <v>17.153000000000002</v>
      </c>
      <c r="AP58" s="88">
        <f t="shared" si="13"/>
        <v>0</v>
      </c>
      <c r="AQ58" s="88">
        <f aca="true" t="shared" si="14" ref="AQ58:BD58">SUM(AQ37:AQ57)</f>
        <v>0</v>
      </c>
      <c r="AR58" s="88">
        <f t="shared" si="14"/>
        <v>0</v>
      </c>
      <c r="AS58" s="88">
        <f t="shared" si="14"/>
        <v>0</v>
      </c>
      <c r="AT58" s="88">
        <f t="shared" si="14"/>
        <v>0</v>
      </c>
      <c r="AU58" s="88">
        <f t="shared" si="14"/>
        <v>0</v>
      </c>
      <c r="AV58" s="88">
        <f t="shared" si="14"/>
        <v>0.75</v>
      </c>
      <c r="AW58" s="88">
        <f t="shared" si="14"/>
        <v>0.796</v>
      </c>
      <c r="AX58" s="88">
        <f t="shared" si="14"/>
        <v>0.298</v>
      </c>
      <c r="AY58" s="88">
        <f t="shared" si="14"/>
        <v>0.125</v>
      </c>
      <c r="AZ58" s="88">
        <f t="shared" si="14"/>
        <v>0</v>
      </c>
      <c r="BA58" s="88">
        <f t="shared" si="14"/>
        <v>1.578</v>
      </c>
      <c r="BB58" s="88">
        <f t="shared" si="14"/>
        <v>8.035</v>
      </c>
      <c r="BC58" s="88">
        <f t="shared" si="14"/>
        <v>0</v>
      </c>
      <c r="BD58" s="88">
        <f t="shared" si="14"/>
        <v>0.7709999999999999</v>
      </c>
    </row>
    <row r="59" spans="3:28" ht="12.75">
      <c r="C59" s="155"/>
      <c r="D59" s="203"/>
      <c r="E59" s="149"/>
      <c r="F59" s="150"/>
      <c r="G59" s="150"/>
      <c r="H59" s="123"/>
      <c r="I59" s="151"/>
      <c r="J59" s="152"/>
      <c r="K59" s="153"/>
      <c r="L59" s="200"/>
      <c r="M59" s="153"/>
      <c r="N59" s="153"/>
      <c r="O59" s="153"/>
      <c r="P59" s="153"/>
      <c r="Q59" s="127"/>
      <c r="R59" s="127"/>
      <c r="S59" s="127"/>
      <c r="T59" s="152"/>
      <c r="U59" s="153"/>
      <c r="V59" s="231"/>
      <c r="W59" s="127"/>
      <c r="X59" s="127"/>
      <c r="Y59" s="128"/>
      <c r="Z59" s="168"/>
      <c r="AB59" s="88">
        <f t="shared" si="3"/>
        <v>0</v>
      </c>
    </row>
    <row r="60" spans="3:56" ht="12.75">
      <c r="C60" s="272" t="s">
        <v>92</v>
      </c>
      <c r="D60" s="255"/>
      <c r="E60" s="164"/>
      <c r="F60" s="165">
        <f>F34+F58</f>
        <v>17.153</v>
      </c>
      <c r="G60" s="165"/>
      <c r="H60" s="123"/>
      <c r="I60" s="166"/>
      <c r="J60" s="167">
        <f aca="true" t="shared" si="15" ref="J60:R60">J34+J58</f>
        <v>-2.523</v>
      </c>
      <c r="K60" s="154">
        <f t="shared" si="15"/>
        <v>0.504</v>
      </c>
      <c r="L60" s="221">
        <f t="shared" si="15"/>
        <v>0.47200000000000003</v>
      </c>
      <c r="M60" s="154">
        <f t="shared" si="15"/>
        <v>0.555</v>
      </c>
      <c r="N60" s="154">
        <f t="shared" si="15"/>
        <v>0.8290000000000001</v>
      </c>
      <c r="O60" s="154">
        <f t="shared" si="15"/>
        <v>1.6189999999999998</v>
      </c>
      <c r="P60" s="154">
        <f t="shared" si="15"/>
        <v>0.9450000000000001</v>
      </c>
      <c r="Q60" s="131">
        <f t="shared" si="15"/>
        <v>1.4489999999999998</v>
      </c>
      <c r="R60" s="131">
        <f t="shared" si="15"/>
        <v>1.2970000000000002</v>
      </c>
      <c r="S60" s="131">
        <f aca="true" t="shared" si="16" ref="S60:X60">S34+S58</f>
        <v>4.105</v>
      </c>
      <c r="T60" s="131">
        <f t="shared" si="16"/>
        <v>9.089</v>
      </c>
      <c r="U60" s="154">
        <f t="shared" si="16"/>
        <v>9.278</v>
      </c>
      <c r="V60" s="232">
        <f t="shared" si="16"/>
        <v>-0.18899999999999983</v>
      </c>
      <c r="W60" s="131">
        <f t="shared" si="16"/>
        <v>4.153</v>
      </c>
      <c r="X60" s="131">
        <f t="shared" si="16"/>
        <v>3.7199999999999998</v>
      </c>
      <c r="Y60" s="128"/>
      <c r="Z60" s="165">
        <f>Z34+Z58</f>
        <v>17.153</v>
      </c>
      <c r="AA60" s="285"/>
      <c r="AB60" s="88">
        <f t="shared" si="3"/>
        <v>0</v>
      </c>
      <c r="AD60" s="88">
        <f>AD57+AD34</f>
        <v>4.574</v>
      </c>
      <c r="AE60" s="88">
        <f aca="true" t="shared" si="17" ref="AE60:BD60">AE57+AE34</f>
        <v>0</v>
      </c>
      <c r="AF60" s="88">
        <f t="shared" si="17"/>
        <v>0</v>
      </c>
      <c r="AG60" s="88">
        <f t="shared" si="17"/>
        <v>0.226</v>
      </c>
      <c r="AH60" s="88">
        <f t="shared" si="17"/>
        <v>0</v>
      </c>
      <c r="AI60" s="88">
        <f t="shared" si="17"/>
        <v>0</v>
      </c>
      <c r="AJ60" s="88">
        <f t="shared" si="17"/>
        <v>12.353000000000002</v>
      </c>
      <c r="AK60" s="88">
        <f t="shared" si="17"/>
        <v>0</v>
      </c>
      <c r="AL60" s="88">
        <f t="shared" si="17"/>
        <v>0</v>
      </c>
      <c r="AM60" s="88">
        <f t="shared" si="17"/>
        <v>0</v>
      </c>
      <c r="AN60" s="88">
        <f t="shared" si="17"/>
        <v>17.153000000000002</v>
      </c>
      <c r="AP60" s="88">
        <f t="shared" si="17"/>
        <v>0</v>
      </c>
      <c r="AQ60" s="88">
        <f t="shared" si="17"/>
        <v>0</v>
      </c>
      <c r="AR60" s="88">
        <f t="shared" si="17"/>
        <v>0</v>
      </c>
      <c r="AS60" s="88">
        <f t="shared" si="17"/>
        <v>0</v>
      </c>
      <c r="AT60" s="88">
        <f t="shared" si="17"/>
        <v>0</v>
      </c>
      <c r="AU60" s="88">
        <f t="shared" si="17"/>
        <v>0</v>
      </c>
      <c r="AV60" s="88">
        <f t="shared" si="17"/>
        <v>0.75</v>
      </c>
      <c r="AW60" s="88">
        <f t="shared" si="17"/>
        <v>0.796</v>
      </c>
      <c r="AX60" s="88">
        <f t="shared" si="17"/>
        <v>0.298</v>
      </c>
      <c r="AY60" s="88">
        <f t="shared" si="17"/>
        <v>0.125</v>
      </c>
      <c r="AZ60" s="88">
        <f t="shared" si="17"/>
        <v>0</v>
      </c>
      <c r="BA60" s="88">
        <f t="shared" si="17"/>
        <v>1.578</v>
      </c>
      <c r="BB60" s="88">
        <f t="shared" si="17"/>
        <v>8.035</v>
      </c>
      <c r="BC60" s="88">
        <f t="shared" si="17"/>
        <v>0</v>
      </c>
      <c r="BD60" s="88">
        <f t="shared" si="17"/>
        <v>0.7709999999999999</v>
      </c>
    </row>
    <row r="61" spans="3:28" ht="12.75">
      <c r="C61" s="155"/>
      <c r="D61" s="203"/>
      <c r="E61" s="149"/>
      <c r="F61" s="150"/>
      <c r="G61" s="150"/>
      <c r="H61" s="123"/>
      <c r="I61" s="151"/>
      <c r="J61" s="152"/>
      <c r="K61" s="153"/>
      <c r="L61" s="200"/>
      <c r="M61" s="153"/>
      <c r="N61" s="153"/>
      <c r="O61" s="153"/>
      <c r="P61" s="153"/>
      <c r="Q61" s="127"/>
      <c r="R61" s="127"/>
      <c r="S61" s="127"/>
      <c r="T61" s="152"/>
      <c r="U61" s="153"/>
      <c r="V61" s="231"/>
      <c r="W61" s="127"/>
      <c r="X61" s="127"/>
      <c r="Y61" s="128"/>
      <c r="Z61" s="168"/>
      <c r="AB61" s="88">
        <f t="shared" si="3"/>
        <v>0</v>
      </c>
    </row>
    <row r="62" spans="3:28" ht="12.75">
      <c r="C62" s="148" t="s">
        <v>93</v>
      </c>
      <c r="D62" s="252"/>
      <c r="E62" s="149"/>
      <c r="F62" s="150"/>
      <c r="G62" s="150"/>
      <c r="H62" s="123"/>
      <c r="I62" s="151"/>
      <c r="J62" s="152"/>
      <c r="K62" s="153"/>
      <c r="L62" s="200"/>
      <c r="M62" s="153"/>
      <c r="N62" s="153"/>
      <c r="O62" s="153"/>
      <c r="P62" s="153"/>
      <c r="Q62" s="127"/>
      <c r="R62" s="127"/>
      <c r="S62" s="127"/>
      <c r="T62" s="152"/>
      <c r="U62" s="153"/>
      <c r="V62" s="231"/>
      <c r="W62" s="127"/>
      <c r="X62" s="127"/>
      <c r="Y62" s="128"/>
      <c r="Z62" s="168"/>
      <c r="AB62" s="88">
        <f t="shared" si="3"/>
        <v>0</v>
      </c>
    </row>
    <row r="63" spans="3:28" ht="12.75">
      <c r="C63" s="148" t="s">
        <v>179</v>
      </c>
      <c r="D63" s="252"/>
      <c r="E63" s="149"/>
      <c r="F63" s="150"/>
      <c r="G63" s="150"/>
      <c r="H63" s="123"/>
      <c r="I63" s="151"/>
      <c r="J63" s="152"/>
      <c r="K63" s="153"/>
      <c r="L63" s="200"/>
      <c r="M63" s="153"/>
      <c r="N63" s="153"/>
      <c r="O63" s="153"/>
      <c r="P63" s="153"/>
      <c r="Q63" s="127"/>
      <c r="R63" s="127"/>
      <c r="S63" s="127"/>
      <c r="T63" s="152"/>
      <c r="U63" s="153"/>
      <c r="V63" s="231"/>
      <c r="W63" s="127"/>
      <c r="X63" s="127"/>
      <c r="Y63" s="128"/>
      <c r="Z63" s="168"/>
      <c r="AB63" s="88">
        <f t="shared" si="3"/>
        <v>0</v>
      </c>
    </row>
    <row r="64" spans="3:56" ht="12.75">
      <c r="C64" s="155" t="s">
        <v>94</v>
      </c>
      <c r="D64" s="203"/>
      <c r="E64" s="149"/>
      <c r="F64" s="150">
        <v>0.061</v>
      </c>
      <c r="G64" s="150"/>
      <c r="H64" s="123"/>
      <c r="I64" s="151"/>
      <c r="J64" s="152"/>
      <c r="K64" s="153"/>
      <c r="L64" s="200"/>
      <c r="M64" s="153"/>
      <c r="N64" s="153"/>
      <c r="O64" s="153"/>
      <c r="P64" s="153"/>
      <c r="Q64" s="153"/>
      <c r="R64" s="153"/>
      <c r="S64" s="153"/>
      <c r="T64" s="171"/>
      <c r="U64" s="154"/>
      <c r="V64" s="236"/>
      <c r="W64" s="153"/>
      <c r="X64" s="153"/>
      <c r="Y64" s="128"/>
      <c r="Z64" s="168"/>
      <c r="AB64" s="88">
        <f t="shared" si="3"/>
        <v>0.061</v>
      </c>
      <c r="AD64" s="297"/>
      <c r="AE64" s="297"/>
      <c r="AF64" s="297"/>
      <c r="AG64" s="297"/>
      <c r="AH64" s="297"/>
      <c r="AI64" s="297"/>
      <c r="AJ64" s="297"/>
      <c r="AK64" s="297"/>
      <c r="AL64" s="297"/>
      <c r="AM64" s="300"/>
      <c r="AN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</row>
    <row r="65" spans="3:56" ht="12.75">
      <c r="C65" s="155" t="s">
        <v>95</v>
      </c>
      <c r="D65" s="203"/>
      <c r="E65" s="149"/>
      <c r="F65" s="150">
        <v>0.228</v>
      </c>
      <c r="G65" s="150"/>
      <c r="H65" s="123"/>
      <c r="I65" s="151"/>
      <c r="J65" s="152"/>
      <c r="K65" s="153"/>
      <c r="L65" s="200"/>
      <c r="M65" s="153"/>
      <c r="N65" s="153"/>
      <c r="O65" s="153"/>
      <c r="P65" s="153"/>
      <c r="Q65" s="127"/>
      <c r="R65" s="127"/>
      <c r="S65" s="127"/>
      <c r="T65" s="171"/>
      <c r="U65" s="154"/>
      <c r="V65" s="236"/>
      <c r="W65" s="127"/>
      <c r="X65" s="127"/>
      <c r="Y65" s="128"/>
      <c r="Z65" s="168"/>
      <c r="AB65" s="88">
        <f t="shared" si="3"/>
        <v>0.228</v>
      </c>
      <c r="AD65" s="298"/>
      <c r="AE65" s="298"/>
      <c r="AF65" s="298"/>
      <c r="AG65" s="298"/>
      <c r="AH65" s="298"/>
      <c r="AI65" s="298"/>
      <c r="AJ65" s="298"/>
      <c r="AK65" s="298"/>
      <c r="AL65" s="298"/>
      <c r="AM65" s="301"/>
      <c r="AN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</row>
    <row r="66" spans="3:56" ht="12.75">
      <c r="C66" s="155" t="s">
        <v>96</v>
      </c>
      <c r="D66" s="203"/>
      <c r="E66" s="149"/>
      <c r="F66" s="150">
        <v>0.123</v>
      </c>
      <c r="G66" s="150"/>
      <c r="H66" s="123"/>
      <c r="I66" s="151"/>
      <c r="J66" s="152"/>
      <c r="K66" s="153"/>
      <c r="L66" s="200"/>
      <c r="M66" s="153"/>
      <c r="N66" s="153"/>
      <c r="O66" s="153"/>
      <c r="P66" s="153"/>
      <c r="Q66" s="153"/>
      <c r="R66" s="153"/>
      <c r="S66" s="153"/>
      <c r="T66" s="171"/>
      <c r="U66" s="154"/>
      <c r="V66" s="236"/>
      <c r="W66" s="153"/>
      <c r="X66" s="153"/>
      <c r="Y66" s="128"/>
      <c r="Z66" s="168"/>
      <c r="AB66" s="88">
        <f t="shared" si="3"/>
        <v>0.123</v>
      </c>
      <c r="AD66" s="298"/>
      <c r="AE66" s="298"/>
      <c r="AF66" s="298"/>
      <c r="AG66" s="298"/>
      <c r="AH66" s="298"/>
      <c r="AI66" s="298"/>
      <c r="AJ66" s="298"/>
      <c r="AK66" s="298"/>
      <c r="AL66" s="298"/>
      <c r="AM66" s="301"/>
      <c r="AN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</row>
    <row r="67" spans="3:56" ht="12.75">
      <c r="C67" s="155" t="s">
        <v>180</v>
      </c>
      <c r="D67" s="203"/>
      <c r="E67" s="149"/>
      <c r="F67" s="150">
        <v>0.862</v>
      </c>
      <c r="G67" s="150"/>
      <c r="H67" s="123"/>
      <c r="I67" s="151"/>
      <c r="J67" s="152"/>
      <c r="K67" s="153"/>
      <c r="L67" s="200"/>
      <c r="M67" s="153"/>
      <c r="N67" s="153"/>
      <c r="O67" s="153"/>
      <c r="P67" s="153"/>
      <c r="Q67" s="153"/>
      <c r="R67" s="153"/>
      <c r="S67" s="153"/>
      <c r="T67" s="171"/>
      <c r="U67" s="154"/>
      <c r="V67" s="236"/>
      <c r="W67" s="153"/>
      <c r="X67" s="153"/>
      <c r="Y67" s="128"/>
      <c r="Z67" s="168"/>
      <c r="AB67" s="88">
        <f t="shared" si="3"/>
        <v>0.862</v>
      </c>
      <c r="AD67" s="298"/>
      <c r="AE67" s="298"/>
      <c r="AF67" s="298"/>
      <c r="AG67" s="298"/>
      <c r="AH67" s="298"/>
      <c r="AI67" s="298"/>
      <c r="AJ67" s="298"/>
      <c r="AK67" s="298"/>
      <c r="AL67" s="298"/>
      <c r="AM67" s="301"/>
      <c r="AN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</row>
    <row r="68" spans="3:56" ht="12.75">
      <c r="C68" s="155" t="s">
        <v>97</v>
      </c>
      <c r="D68" s="203"/>
      <c r="E68" s="149"/>
      <c r="F68" s="150">
        <v>1.25</v>
      </c>
      <c r="G68" s="150"/>
      <c r="H68" s="123"/>
      <c r="I68" s="151"/>
      <c r="J68" s="152"/>
      <c r="K68" s="153"/>
      <c r="L68" s="200"/>
      <c r="M68" s="153"/>
      <c r="N68" s="153"/>
      <c r="O68" s="153"/>
      <c r="P68" s="153"/>
      <c r="Q68" s="153"/>
      <c r="R68" s="153"/>
      <c r="S68" s="153"/>
      <c r="T68" s="171"/>
      <c r="U68" s="154"/>
      <c r="V68" s="236"/>
      <c r="W68" s="153"/>
      <c r="X68" s="153"/>
      <c r="Y68" s="128"/>
      <c r="Z68" s="168"/>
      <c r="AB68" s="88">
        <f t="shared" si="3"/>
        <v>1.25</v>
      </c>
      <c r="AD68" s="298"/>
      <c r="AE68" s="298"/>
      <c r="AF68" s="298"/>
      <c r="AG68" s="298"/>
      <c r="AH68" s="298"/>
      <c r="AI68" s="298"/>
      <c r="AJ68" s="298"/>
      <c r="AK68" s="298"/>
      <c r="AL68" s="298"/>
      <c r="AM68" s="301"/>
      <c r="AN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</row>
    <row r="69" spans="3:56" ht="12.75">
      <c r="C69" s="155" t="s">
        <v>181</v>
      </c>
      <c r="D69" s="203"/>
      <c r="E69" s="149"/>
      <c r="F69" s="150">
        <v>8.974</v>
      </c>
      <c r="G69" s="150"/>
      <c r="H69" s="123"/>
      <c r="I69" s="151"/>
      <c r="J69" s="152"/>
      <c r="K69" s="153"/>
      <c r="L69" s="200"/>
      <c r="M69" s="153"/>
      <c r="N69" s="153"/>
      <c r="O69" s="153"/>
      <c r="P69" s="153"/>
      <c r="Q69" s="153"/>
      <c r="R69" s="153"/>
      <c r="S69" s="153"/>
      <c r="T69" s="171"/>
      <c r="U69" s="154"/>
      <c r="V69" s="236"/>
      <c r="W69" s="153"/>
      <c r="X69" s="153"/>
      <c r="Y69" s="128"/>
      <c r="Z69" s="168"/>
      <c r="AB69" s="88">
        <f t="shared" si="3"/>
        <v>8.974</v>
      </c>
      <c r="AD69" s="298"/>
      <c r="AE69" s="298"/>
      <c r="AF69" s="298"/>
      <c r="AG69" s="298"/>
      <c r="AH69" s="298"/>
      <c r="AI69" s="298"/>
      <c r="AJ69" s="298"/>
      <c r="AK69" s="298"/>
      <c r="AL69" s="298"/>
      <c r="AM69" s="301"/>
      <c r="AN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</row>
    <row r="70" spans="3:56" ht="12.75">
      <c r="C70" s="155" t="s">
        <v>182</v>
      </c>
      <c r="D70" s="203"/>
      <c r="E70" s="149"/>
      <c r="F70" s="150">
        <v>1.571</v>
      </c>
      <c r="G70" s="150"/>
      <c r="H70" s="123"/>
      <c r="I70" s="151"/>
      <c r="J70" s="152"/>
      <c r="K70" s="153"/>
      <c r="L70" s="200"/>
      <c r="M70" s="153"/>
      <c r="N70" s="153"/>
      <c r="O70" s="153"/>
      <c r="P70" s="153"/>
      <c r="Q70" s="153"/>
      <c r="R70" s="127"/>
      <c r="S70" s="127"/>
      <c r="T70" s="171"/>
      <c r="U70" s="154"/>
      <c r="V70" s="236"/>
      <c r="W70" s="127"/>
      <c r="X70" s="127"/>
      <c r="Y70" s="128"/>
      <c r="Z70" s="168"/>
      <c r="AB70" s="88">
        <f t="shared" si="3"/>
        <v>1.571</v>
      </c>
      <c r="AD70" s="298"/>
      <c r="AE70" s="298"/>
      <c r="AF70" s="298"/>
      <c r="AG70" s="298"/>
      <c r="AH70" s="298"/>
      <c r="AI70" s="298"/>
      <c r="AJ70" s="298"/>
      <c r="AK70" s="298"/>
      <c r="AL70" s="298"/>
      <c r="AM70" s="301"/>
      <c r="AN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</row>
    <row r="71" spans="3:56" ht="12.75">
      <c r="C71" s="155" t="s">
        <v>159</v>
      </c>
      <c r="D71" s="203"/>
      <c r="E71" s="149"/>
      <c r="F71" s="150">
        <v>0.642</v>
      </c>
      <c r="G71" s="150"/>
      <c r="H71" s="123"/>
      <c r="I71" s="151"/>
      <c r="J71" s="152"/>
      <c r="K71" s="153"/>
      <c r="L71" s="200"/>
      <c r="M71" s="153"/>
      <c r="N71" s="153"/>
      <c r="O71" s="153"/>
      <c r="P71" s="153"/>
      <c r="Q71" s="153"/>
      <c r="R71" s="153"/>
      <c r="S71" s="153"/>
      <c r="T71" s="171"/>
      <c r="U71" s="154"/>
      <c r="V71" s="236"/>
      <c r="W71" s="153"/>
      <c r="X71" s="153"/>
      <c r="Y71" s="128"/>
      <c r="Z71" s="168"/>
      <c r="AB71" s="88">
        <f t="shared" si="3"/>
        <v>0.642</v>
      </c>
      <c r="AD71" s="298"/>
      <c r="AE71" s="298"/>
      <c r="AF71" s="298"/>
      <c r="AG71" s="298"/>
      <c r="AH71" s="298"/>
      <c r="AI71" s="298"/>
      <c r="AJ71" s="298"/>
      <c r="AK71" s="298"/>
      <c r="AL71" s="298"/>
      <c r="AM71" s="301"/>
      <c r="AN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</row>
    <row r="72" spans="3:56" ht="12.75">
      <c r="C72" s="155" t="s">
        <v>44</v>
      </c>
      <c r="D72" s="203"/>
      <c r="E72" s="149"/>
      <c r="F72" s="150">
        <v>1.896</v>
      </c>
      <c r="G72" s="150"/>
      <c r="H72" s="123"/>
      <c r="I72" s="151"/>
      <c r="J72" s="152"/>
      <c r="K72" s="153"/>
      <c r="L72" s="200"/>
      <c r="M72" s="153"/>
      <c r="N72" s="153"/>
      <c r="O72" s="153"/>
      <c r="P72" s="153"/>
      <c r="Q72" s="153"/>
      <c r="R72" s="153"/>
      <c r="S72" s="153"/>
      <c r="T72" s="171"/>
      <c r="U72" s="154"/>
      <c r="V72" s="236"/>
      <c r="W72" s="153"/>
      <c r="X72" s="153"/>
      <c r="Y72" s="128"/>
      <c r="Z72" s="168"/>
      <c r="AB72" s="88">
        <f t="shared" si="3"/>
        <v>1.896</v>
      </c>
      <c r="AD72" s="298"/>
      <c r="AE72" s="298"/>
      <c r="AF72" s="298"/>
      <c r="AG72" s="298"/>
      <c r="AH72" s="298"/>
      <c r="AI72" s="298"/>
      <c r="AJ72" s="298"/>
      <c r="AK72" s="298"/>
      <c r="AL72" s="298"/>
      <c r="AM72" s="301"/>
      <c r="AN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</row>
    <row r="73" spans="3:56" ht="12.75">
      <c r="C73" s="155" t="s">
        <v>98</v>
      </c>
      <c r="D73" s="203"/>
      <c r="E73" s="149"/>
      <c r="F73" s="150">
        <v>0.15</v>
      </c>
      <c r="G73" s="150"/>
      <c r="H73" s="123"/>
      <c r="I73" s="151"/>
      <c r="J73" s="152"/>
      <c r="K73" s="153"/>
      <c r="L73" s="200"/>
      <c r="M73" s="153"/>
      <c r="N73" s="153"/>
      <c r="O73" s="153"/>
      <c r="P73" s="153"/>
      <c r="Q73" s="153"/>
      <c r="R73" s="153"/>
      <c r="S73" s="153"/>
      <c r="T73" s="171"/>
      <c r="U73" s="154"/>
      <c r="V73" s="236"/>
      <c r="W73" s="153"/>
      <c r="X73" s="153"/>
      <c r="Y73" s="128"/>
      <c r="Z73" s="168"/>
      <c r="AB73" s="88">
        <f t="shared" si="3"/>
        <v>0.15</v>
      </c>
      <c r="AD73" s="298"/>
      <c r="AE73" s="298"/>
      <c r="AF73" s="298"/>
      <c r="AG73" s="298"/>
      <c r="AH73" s="298"/>
      <c r="AI73" s="298"/>
      <c r="AJ73" s="298"/>
      <c r="AK73" s="298"/>
      <c r="AL73" s="298"/>
      <c r="AM73" s="301"/>
      <c r="AN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</row>
    <row r="74" spans="3:56" ht="12.75">
      <c r="C74" s="155" t="s">
        <v>183</v>
      </c>
      <c r="D74" s="203"/>
      <c r="E74" s="149"/>
      <c r="F74" s="150">
        <v>1.738</v>
      </c>
      <c r="G74" s="150"/>
      <c r="H74" s="123"/>
      <c r="I74" s="151"/>
      <c r="J74" s="152"/>
      <c r="K74" s="153"/>
      <c r="L74" s="200"/>
      <c r="M74" s="153"/>
      <c r="N74" s="153"/>
      <c r="O74" s="153"/>
      <c r="P74" s="153"/>
      <c r="Q74" s="153"/>
      <c r="R74" s="153"/>
      <c r="S74" s="153"/>
      <c r="T74" s="171"/>
      <c r="U74" s="154"/>
      <c r="V74" s="236"/>
      <c r="W74" s="153"/>
      <c r="X74" s="153"/>
      <c r="Y74" s="128"/>
      <c r="Z74" s="168"/>
      <c r="AB74" s="88">
        <f t="shared" si="3"/>
        <v>1.738</v>
      </c>
      <c r="AD74" s="298"/>
      <c r="AE74" s="298"/>
      <c r="AF74" s="298"/>
      <c r="AG74" s="298"/>
      <c r="AH74" s="298"/>
      <c r="AI74" s="298"/>
      <c r="AJ74" s="298"/>
      <c r="AK74" s="298"/>
      <c r="AL74" s="298"/>
      <c r="AM74" s="301"/>
      <c r="AN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1"/>
      <c r="BD74" s="301"/>
    </row>
    <row r="75" spans="3:56" ht="12.75">
      <c r="C75" s="87" t="s">
        <v>242</v>
      </c>
      <c r="D75" s="249"/>
      <c r="E75" s="149"/>
      <c r="F75" s="150">
        <v>0.634</v>
      </c>
      <c r="G75" s="150"/>
      <c r="H75" s="123"/>
      <c r="I75" s="151"/>
      <c r="J75" s="152"/>
      <c r="K75" s="153"/>
      <c r="L75" s="200"/>
      <c r="M75" s="153"/>
      <c r="N75" s="153"/>
      <c r="O75" s="153"/>
      <c r="P75" s="153"/>
      <c r="Q75" s="153"/>
      <c r="R75" s="153"/>
      <c r="S75" s="153"/>
      <c r="T75" s="171"/>
      <c r="U75" s="154"/>
      <c r="V75" s="236"/>
      <c r="W75" s="153"/>
      <c r="X75" s="153"/>
      <c r="Y75" s="128"/>
      <c r="Z75" s="168"/>
      <c r="AB75" s="88">
        <f t="shared" si="3"/>
        <v>0.634</v>
      </c>
      <c r="AD75" s="298"/>
      <c r="AE75" s="298"/>
      <c r="AF75" s="298"/>
      <c r="AG75" s="298"/>
      <c r="AH75" s="298"/>
      <c r="AI75" s="298"/>
      <c r="AJ75" s="298"/>
      <c r="AK75" s="298"/>
      <c r="AL75" s="298"/>
      <c r="AM75" s="301"/>
      <c r="AN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</row>
    <row r="76" spans="3:56" ht="12.75">
      <c r="C76" s="148" t="s">
        <v>184</v>
      </c>
      <c r="D76" s="252"/>
      <c r="E76" s="149"/>
      <c r="F76" s="150"/>
      <c r="G76" s="150"/>
      <c r="H76" s="123"/>
      <c r="I76" s="151"/>
      <c r="J76" s="152"/>
      <c r="K76" s="153"/>
      <c r="L76" s="200"/>
      <c r="M76" s="153"/>
      <c r="N76" s="153"/>
      <c r="O76" s="153"/>
      <c r="P76" s="153"/>
      <c r="Q76" s="127"/>
      <c r="R76" s="127"/>
      <c r="S76" s="127"/>
      <c r="T76" s="171"/>
      <c r="U76" s="154"/>
      <c r="V76" s="232"/>
      <c r="W76" s="127"/>
      <c r="X76" s="127"/>
      <c r="Y76" s="128"/>
      <c r="Z76" s="168"/>
      <c r="AB76" s="88">
        <f aca="true" t="shared" si="18" ref="AB76:AB142">F76-Z76</f>
        <v>0</v>
      </c>
      <c r="AD76" s="298"/>
      <c r="AE76" s="298"/>
      <c r="AF76" s="298"/>
      <c r="AG76" s="298"/>
      <c r="AH76" s="298"/>
      <c r="AI76" s="298"/>
      <c r="AJ76" s="298"/>
      <c r="AK76" s="298"/>
      <c r="AL76" s="298"/>
      <c r="AM76" s="301"/>
      <c r="AN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301"/>
      <c r="BC76" s="301"/>
      <c r="BD76" s="301"/>
    </row>
    <row r="77" spans="3:56" ht="12.75">
      <c r="C77" s="155" t="s">
        <v>185</v>
      </c>
      <c r="D77" s="203"/>
      <c r="E77" s="149"/>
      <c r="F77" s="150">
        <v>2.645</v>
      </c>
      <c r="G77" s="169"/>
      <c r="H77" s="123"/>
      <c r="I77" s="151"/>
      <c r="J77" s="152"/>
      <c r="K77" s="153"/>
      <c r="L77" s="200"/>
      <c r="M77" s="153"/>
      <c r="N77" s="153"/>
      <c r="O77" s="153"/>
      <c r="P77" s="153"/>
      <c r="Q77" s="127"/>
      <c r="R77" s="127"/>
      <c r="S77" s="127"/>
      <c r="T77" s="171"/>
      <c r="U77" s="154"/>
      <c r="V77" s="236"/>
      <c r="W77" s="127"/>
      <c r="X77" s="127"/>
      <c r="Y77" s="128"/>
      <c r="Z77" s="168"/>
      <c r="AB77" s="88">
        <f t="shared" si="18"/>
        <v>2.645</v>
      </c>
      <c r="AD77" s="298"/>
      <c r="AE77" s="298"/>
      <c r="AF77" s="298"/>
      <c r="AG77" s="298"/>
      <c r="AH77" s="298"/>
      <c r="AI77" s="298"/>
      <c r="AJ77" s="298"/>
      <c r="AK77" s="298"/>
      <c r="AL77" s="298"/>
      <c r="AM77" s="301"/>
      <c r="AN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  <c r="BD77" s="301"/>
    </row>
    <row r="78" spans="3:57" ht="12.75">
      <c r="C78" s="155" t="s">
        <v>497</v>
      </c>
      <c r="D78" s="203"/>
      <c r="E78" s="149"/>
      <c r="F78" s="150">
        <v>0.515</v>
      </c>
      <c r="G78" s="169"/>
      <c r="H78" s="123"/>
      <c r="I78" s="151"/>
      <c r="J78" s="152"/>
      <c r="K78" s="153"/>
      <c r="L78" s="200"/>
      <c r="M78" s="153"/>
      <c r="N78" s="153"/>
      <c r="O78" s="153"/>
      <c r="P78" s="153"/>
      <c r="Q78" s="127"/>
      <c r="R78" s="127"/>
      <c r="S78" s="127"/>
      <c r="T78" s="171"/>
      <c r="U78" s="154"/>
      <c r="V78" s="236"/>
      <c r="W78" s="127"/>
      <c r="X78" s="127"/>
      <c r="Y78" s="128"/>
      <c r="Z78" s="168"/>
      <c r="AB78" s="88">
        <f t="shared" si="18"/>
        <v>0.515</v>
      </c>
      <c r="AD78" s="299"/>
      <c r="AE78" s="299"/>
      <c r="AF78" s="299"/>
      <c r="AG78" s="299">
        <v>0.057</v>
      </c>
      <c r="AH78" s="299">
        <v>15.946</v>
      </c>
      <c r="AI78" s="299">
        <v>5.033</v>
      </c>
      <c r="AJ78" s="299">
        <v>0.23800000000000002</v>
      </c>
      <c r="AK78" s="299"/>
      <c r="AL78" s="299"/>
      <c r="AM78" s="302">
        <v>0.015</v>
      </c>
      <c r="AN78" s="302">
        <f>SUM(AD78:AM78)</f>
        <v>21.289</v>
      </c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>
        <v>0.002</v>
      </c>
      <c r="BA78" s="302">
        <v>0.23</v>
      </c>
      <c r="BB78" s="302"/>
      <c r="BC78" s="302"/>
      <c r="BD78" s="302">
        <v>0.006</v>
      </c>
      <c r="BE78" s="98" t="s">
        <v>524</v>
      </c>
    </row>
    <row r="79" spans="3:56" ht="12.75">
      <c r="C79" s="163" t="s">
        <v>99</v>
      </c>
      <c r="D79" s="255"/>
      <c r="E79" s="164"/>
      <c r="F79" s="165">
        <f>SUM(F64:F78)</f>
        <v>21.289</v>
      </c>
      <c r="G79" s="165"/>
      <c r="H79" s="123"/>
      <c r="I79" s="166"/>
      <c r="J79" s="167">
        <v>3.059</v>
      </c>
      <c r="K79" s="154">
        <v>1.776</v>
      </c>
      <c r="L79" s="221">
        <v>1.16</v>
      </c>
      <c r="M79" s="154">
        <v>1.175</v>
      </c>
      <c r="N79" s="154">
        <v>1.175</v>
      </c>
      <c r="O79" s="154">
        <v>1.225</v>
      </c>
      <c r="P79" s="154">
        <v>1.225</v>
      </c>
      <c r="Q79" s="131">
        <v>1.375</v>
      </c>
      <c r="R79" s="131">
        <v>1.415</v>
      </c>
      <c r="S79" s="131">
        <v>1.765</v>
      </c>
      <c r="T79" s="171">
        <f>SUM(J79:S79)</f>
        <v>15.350000000000001</v>
      </c>
      <c r="U79" s="154">
        <v>11.209</v>
      </c>
      <c r="V79" s="236">
        <f>T79-U79</f>
        <v>4.141000000000002</v>
      </c>
      <c r="W79" s="131">
        <v>2.884</v>
      </c>
      <c r="X79" s="131">
        <f>2.54+0.515</f>
        <v>3.055</v>
      </c>
      <c r="Y79" s="128"/>
      <c r="Z79" s="168">
        <f>T79+SUM(W79:X79)</f>
        <v>21.289</v>
      </c>
      <c r="AB79" s="88">
        <f t="shared" si="18"/>
        <v>0</v>
      </c>
      <c r="AD79" s="88">
        <f>SUM(AD64:AD78)</f>
        <v>0</v>
      </c>
      <c r="AE79" s="88">
        <f aca="true" t="shared" si="19" ref="AE79:AP79">SUM(AE64:AE78)</f>
        <v>0</v>
      </c>
      <c r="AF79" s="88">
        <f t="shared" si="19"/>
        <v>0</v>
      </c>
      <c r="AG79" s="88">
        <f t="shared" si="19"/>
        <v>0.057</v>
      </c>
      <c r="AH79" s="88">
        <f t="shared" si="19"/>
        <v>15.946</v>
      </c>
      <c r="AI79" s="88">
        <f t="shared" si="19"/>
        <v>5.033</v>
      </c>
      <c r="AJ79" s="88">
        <f t="shared" si="19"/>
        <v>0.23800000000000002</v>
      </c>
      <c r="AK79" s="88">
        <f t="shared" si="19"/>
        <v>0</v>
      </c>
      <c r="AL79" s="88">
        <f t="shared" si="19"/>
        <v>0</v>
      </c>
      <c r="AM79" s="88">
        <f t="shared" si="19"/>
        <v>0.015</v>
      </c>
      <c r="AN79" s="88">
        <f t="shared" si="19"/>
        <v>21.289</v>
      </c>
      <c r="AP79" s="88">
        <f t="shared" si="19"/>
        <v>0</v>
      </c>
      <c r="AQ79" s="88">
        <f aca="true" t="shared" si="20" ref="AQ79:BD79">SUM(AQ64:AQ78)</f>
        <v>0</v>
      </c>
      <c r="AR79" s="88">
        <f t="shared" si="20"/>
        <v>0</v>
      </c>
      <c r="AS79" s="88">
        <f t="shared" si="20"/>
        <v>0</v>
      </c>
      <c r="AT79" s="88">
        <f t="shared" si="20"/>
        <v>0</v>
      </c>
      <c r="AU79" s="88">
        <f t="shared" si="20"/>
        <v>0</v>
      </c>
      <c r="AV79" s="88">
        <f t="shared" si="20"/>
        <v>0</v>
      </c>
      <c r="AW79" s="88">
        <f t="shared" si="20"/>
        <v>0</v>
      </c>
      <c r="AX79" s="88">
        <f t="shared" si="20"/>
        <v>0</v>
      </c>
      <c r="AY79" s="88">
        <f t="shared" si="20"/>
        <v>0</v>
      </c>
      <c r="AZ79" s="88">
        <f t="shared" si="20"/>
        <v>0.002</v>
      </c>
      <c r="BA79" s="88">
        <f t="shared" si="20"/>
        <v>0.23</v>
      </c>
      <c r="BB79" s="88">
        <f t="shared" si="20"/>
        <v>0</v>
      </c>
      <c r="BC79" s="88">
        <f t="shared" si="20"/>
        <v>0</v>
      </c>
      <c r="BD79" s="88">
        <f t="shared" si="20"/>
        <v>0.006</v>
      </c>
    </row>
    <row r="80" spans="3:28" ht="12.75">
      <c r="C80" s="155"/>
      <c r="D80" s="203"/>
      <c r="E80" s="149"/>
      <c r="F80" s="150"/>
      <c r="G80" s="150"/>
      <c r="H80" s="123"/>
      <c r="I80" s="151"/>
      <c r="J80" s="152"/>
      <c r="K80" s="153"/>
      <c r="L80" s="200"/>
      <c r="M80" s="153"/>
      <c r="N80" s="153"/>
      <c r="O80" s="153"/>
      <c r="P80" s="153"/>
      <c r="Q80" s="127"/>
      <c r="R80" s="127"/>
      <c r="S80" s="127"/>
      <c r="T80" s="152"/>
      <c r="U80" s="153"/>
      <c r="V80" s="231"/>
      <c r="W80" s="127"/>
      <c r="X80" s="127"/>
      <c r="Y80" s="128"/>
      <c r="Z80" s="168"/>
      <c r="AB80" s="88">
        <f t="shared" si="18"/>
        <v>0</v>
      </c>
    </row>
    <row r="81" spans="2:56" s="173" customFormat="1" ht="12.75">
      <c r="B81" s="170"/>
      <c r="C81" s="163" t="s">
        <v>100</v>
      </c>
      <c r="D81" s="255"/>
      <c r="E81" s="164"/>
      <c r="F81" s="165">
        <f>F60+F79</f>
        <v>38.442</v>
      </c>
      <c r="G81" s="165"/>
      <c r="H81" s="171"/>
      <c r="I81" s="166"/>
      <c r="J81" s="167">
        <f aca="true" t="shared" si="21" ref="J81:X81">J60+J79</f>
        <v>0.536</v>
      </c>
      <c r="K81" s="154">
        <f t="shared" si="21"/>
        <v>2.2800000000000002</v>
      </c>
      <c r="L81" s="221">
        <f t="shared" si="21"/>
        <v>1.632</v>
      </c>
      <c r="M81" s="154">
        <f t="shared" si="21"/>
        <v>1.73</v>
      </c>
      <c r="N81" s="154">
        <f t="shared" si="21"/>
        <v>2.004</v>
      </c>
      <c r="O81" s="154">
        <f t="shared" si="21"/>
        <v>2.844</v>
      </c>
      <c r="P81" s="154">
        <f t="shared" si="21"/>
        <v>2.17</v>
      </c>
      <c r="Q81" s="131">
        <f t="shared" si="21"/>
        <v>2.824</v>
      </c>
      <c r="R81" s="131">
        <f t="shared" si="21"/>
        <v>2.712</v>
      </c>
      <c r="S81" s="131">
        <f>S60+S79</f>
        <v>5.87</v>
      </c>
      <c r="T81" s="154">
        <f t="shared" si="21"/>
        <v>24.439</v>
      </c>
      <c r="U81" s="154">
        <f t="shared" si="21"/>
        <v>20.487000000000002</v>
      </c>
      <c r="V81" s="232">
        <f t="shared" si="21"/>
        <v>3.9520000000000017</v>
      </c>
      <c r="W81" s="131">
        <f t="shared" si="21"/>
        <v>7.036999999999999</v>
      </c>
      <c r="X81" s="131">
        <f t="shared" si="21"/>
        <v>6.775</v>
      </c>
      <c r="Y81" s="172"/>
      <c r="Z81" s="168">
        <f>Z60+Z79</f>
        <v>38.442</v>
      </c>
      <c r="AA81" s="170"/>
      <c r="AB81" s="88">
        <f t="shared" si="18"/>
        <v>0</v>
      </c>
      <c r="AC81" s="170"/>
      <c r="AD81" s="170">
        <f>AD79+AD60</f>
        <v>4.574</v>
      </c>
      <c r="AE81" s="170">
        <f aca="true" t="shared" si="22" ref="AE81:BD81">AE79+AE60</f>
        <v>0</v>
      </c>
      <c r="AF81" s="170">
        <f t="shared" si="22"/>
        <v>0</v>
      </c>
      <c r="AG81" s="170">
        <f t="shared" si="22"/>
        <v>0.28300000000000003</v>
      </c>
      <c r="AH81" s="170">
        <f t="shared" si="22"/>
        <v>15.946</v>
      </c>
      <c r="AI81" s="170">
        <f t="shared" si="22"/>
        <v>5.033</v>
      </c>
      <c r="AJ81" s="170">
        <f t="shared" si="22"/>
        <v>12.591000000000001</v>
      </c>
      <c r="AK81" s="170">
        <f t="shared" si="22"/>
        <v>0</v>
      </c>
      <c r="AL81" s="170">
        <f t="shared" si="22"/>
        <v>0</v>
      </c>
      <c r="AM81" s="170">
        <f t="shared" si="22"/>
        <v>0.015</v>
      </c>
      <c r="AN81" s="170">
        <f t="shared" si="22"/>
        <v>38.44200000000001</v>
      </c>
      <c r="AO81" s="170"/>
      <c r="AP81" s="170">
        <f t="shared" si="22"/>
        <v>0</v>
      </c>
      <c r="AQ81" s="170">
        <f t="shared" si="22"/>
        <v>0</v>
      </c>
      <c r="AR81" s="170">
        <f t="shared" si="22"/>
        <v>0</v>
      </c>
      <c r="AS81" s="170">
        <f t="shared" si="22"/>
        <v>0</v>
      </c>
      <c r="AT81" s="170">
        <f t="shared" si="22"/>
        <v>0</v>
      </c>
      <c r="AU81" s="170">
        <f t="shared" si="22"/>
        <v>0</v>
      </c>
      <c r="AV81" s="170">
        <f t="shared" si="22"/>
        <v>0.75</v>
      </c>
      <c r="AW81" s="170">
        <f t="shared" si="22"/>
        <v>0.796</v>
      </c>
      <c r="AX81" s="170">
        <f t="shared" si="22"/>
        <v>0.298</v>
      </c>
      <c r="AY81" s="170">
        <f t="shared" si="22"/>
        <v>0.125</v>
      </c>
      <c r="AZ81" s="170">
        <f t="shared" si="22"/>
        <v>0.002</v>
      </c>
      <c r="BA81" s="170">
        <f t="shared" si="22"/>
        <v>1.808</v>
      </c>
      <c r="BB81" s="170">
        <f t="shared" si="22"/>
        <v>8.035</v>
      </c>
      <c r="BC81" s="170">
        <f t="shared" si="22"/>
        <v>0</v>
      </c>
      <c r="BD81" s="170">
        <f t="shared" si="22"/>
        <v>0.7769999999999999</v>
      </c>
    </row>
    <row r="82" spans="3:28" ht="12.75">
      <c r="C82" s="155"/>
      <c r="D82" s="203"/>
      <c r="E82" s="149"/>
      <c r="F82" s="150"/>
      <c r="G82" s="150"/>
      <c r="H82" s="123"/>
      <c r="I82" s="151"/>
      <c r="J82" s="152"/>
      <c r="K82" s="153"/>
      <c r="L82" s="200"/>
      <c r="M82" s="153"/>
      <c r="N82" s="153"/>
      <c r="O82" s="153"/>
      <c r="P82" s="153"/>
      <c r="Q82" s="127"/>
      <c r="R82" s="127"/>
      <c r="S82" s="127"/>
      <c r="T82" s="152"/>
      <c r="U82" s="153"/>
      <c r="V82" s="231"/>
      <c r="W82" s="127"/>
      <c r="X82" s="127"/>
      <c r="Y82" s="128"/>
      <c r="Z82" s="168"/>
      <c r="AB82" s="88">
        <f t="shared" si="18"/>
        <v>0</v>
      </c>
    </row>
    <row r="83" spans="3:28" ht="12.75">
      <c r="C83" s="163" t="s">
        <v>16</v>
      </c>
      <c r="D83" s="255"/>
      <c r="E83" s="149"/>
      <c r="F83" s="150"/>
      <c r="G83" s="150"/>
      <c r="H83" s="123"/>
      <c r="I83" s="151"/>
      <c r="J83" s="152"/>
      <c r="K83" s="153"/>
      <c r="L83" s="200"/>
      <c r="M83" s="153"/>
      <c r="N83" s="153"/>
      <c r="O83" s="153"/>
      <c r="P83" s="153"/>
      <c r="Q83" s="127"/>
      <c r="R83" s="127"/>
      <c r="S83" s="127"/>
      <c r="T83" s="152"/>
      <c r="U83" s="153"/>
      <c r="V83" s="231"/>
      <c r="W83" s="127"/>
      <c r="X83" s="127"/>
      <c r="Y83" s="128"/>
      <c r="Z83" s="168"/>
      <c r="AB83" s="88">
        <f t="shared" si="18"/>
        <v>0</v>
      </c>
    </row>
    <row r="84" spans="3:28" ht="12.75">
      <c r="C84" s="148" t="s">
        <v>186</v>
      </c>
      <c r="D84" s="252"/>
      <c r="E84" s="149"/>
      <c r="F84" s="150"/>
      <c r="G84" s="150"/>
      <c r="H84" s="123"/>
      <c r="I84" s="151"/>
      <c r="J84" s="152"/>
      <c r="K84" s="153"/>
      <c r="L84" s="200"/>
      <c r="M84" s="153"/>
      <c r="N84" s="153"/>
      <c r="O84" s="153"/>
      <c r="P84" s="153"/>
      <c r="Q84" s="127"/>
      <c r="R84" s="127"/>
      <c r="S84" s="127"/>
      <c r="T84" s="152"/>
      <c r="U84" s="153"/>
      <c r="V84" s="231"/>
      <c r="W84" s="127"/>
      <c r="X84" s="127"/>
      <c r="Y84" s="128"/>
      <c r="Z84" s="168"/>
      <c r="AB84" s="88">
        <f t="shared" si="18"/>
        <v>0</v>
      </c>
    </row>
    <row r="85" spans="3:56" ht="12.75">
      <c r="C85" s="155" t="s">
        <v>489</v>
      </c>
      <c r="D85" s="203"/>
      <c r="E85" s="149"/>
      <c r="F85" s="150">
        <v>0.123</v>
      </c>
      <c r="G85" s="150"/>
      <c r="H85" s="123"/>
      <c r="I85" s="151"/>
      <c r="J85" s="152">
        <v>0.053</v>
      </c>
      <c r="K85" s="153"/>
      <c r="L85" s="200"/>
      <c r="M85" s="153"/>
      <c r="N85" s="153"/>
      <c r="O85" s="153">
        <v>0.07</v>
      </c>
      <c r="P85" s="153"/>
      <c r="Q85" s="127"/>
      <c r="R85" s="127"/>
      <c r="S85" s="127"/>
      <c r="T85" s="171">
        <f>SUM(J85:S85)</f>
        <v>0.123</v>
      </c>
      <c r="U85" s="154">
        <v>0.209</v>
      </c>
      <c r="V85" s="236">
        <f aca="true" t="shared" si="23" ref="V85:V111">T85-U85</f>
        <v>-0.086</v>
      </c>
      <c r="W85" s="127"/>
      <c r="X85" s="127"/>
      <c r="Y85" s="128"/>
      <c r="Z85" s="168">
        <f aca="true" t="shared" si="24" ref="Z85:Z112">T85+SUM(W85:X85)</f>
        <v>0.123</v>
      </c>
      <c r="AB85" s="88">
        <f t="shared" si="18"/>
        <v>0</v>
      </c>
      <c r="AD85" s="297"/>
      <c r="AE85" s="297"/>
      <c r="AF85" s="297"/>
      <c r="AG85" s="297"/>
      <c r="AH85" s="297"/>
      <c r="AI85" s="297"/>
      <c r="AJ85" s="297">
        <f aca="true" t="shared" si="25" ref="AJ85:AJ111">SUM(AP85:BD85)</f>
        <v>0.123</v>
      </c>
      <c r="AK85" s="297"/>
      <c r="AL85" s="297"/>
      <c r="AM85" s="300"/>
      <c r="AN85" s="300">
        <f aca="true" t="shared" si="26" ref="AN85:AN113">SUM(AD85:AM85)</f>
        <v>0.123</v>
      </c>
      <c r="AP85" s="300"/>
      <c r="AQ85" s="300">
        <v>0.123</v>
      </c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</row>
    <row r="86" spans="3:56" ht="12.75">
      <c r="C86" s="155" t="s">
        <v>599</v>
      </c>
      <c r="D86" s="203"/>
      <c r="E86" s="149"/>
      <c r="F86" s="150">
        <v>0.035</v>
      </c>
      <c r="G86" s="150"/>
      <c r="H86" s="123"/>
      <c r="I86" s="151"/>
      <c r="J86" s="152"/>
      <c r="K86" s="153"/>
      <c r="L86" s="200"/>
      <c r="M86" s="153"/>
      <c r="N86" s="153"/>
      <c r="O86" s="153"/>
      <c r="P86" s="153"/>
      <c r="Q86" s="127"/>
      <c r="R86" s="127"/>
      <c r="S86" s="127"/>
      <c r="T86" s="171"/>
      <c r="U86" s="154"/>
      <c r="V86" s="236"/>
      <c r="W86" s="127"/>
      <c r="X86" s="127"/>
      <c r="Y86" s="128"/>
      <c r="Z86" s="168"/>
      <c r="AD86" s="298"/>
      <c r="AE86" s="298"/>
      <c r="AF86" s="298"/>
      <c r="AG86" s="298">
        <v>0.035</v>
      </c>
      <c r="AH86" s="298"/>
      <c r="AI86" s="298"/>
      <c r="AJ86" s="298"/>
      <c r="AK86" s="298"/>
      <c r="AL86" s="298"/>
      <c r="AM86" s="301"/>
      <c r="AN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1"/>
      <c r="BD86" s="301"/>
    </row>
    <row r="87" spans="3:56" ht="12.75">
      <c r="C87" s="155" t="s">
        <v>187</v>
      </c>
      <c r="D87" s="203"/>
      <c r="E87" s="149"/>
      <c r="F87" s="150">
        <v>4.251</v>
      </c>
      <c r="G87" s="150"/>
      <c r="H87" s="123"/>
      <c r="I87" s="151"/>
      <c r="J87" s="152"/>
      <c r="K87" s="153">
        <v>0.039</v>
      </c>
      <c r="L87" s="200">
        <v>0.384</v>
      </c>
      <c r="M87" s="153">
        <v>0.384</v>
      </c>
      <c r="N87" s="153">
        <v>0.384</v>
      </c>
      <c r="O87" s="153">
        <v>0.384</v>
      </c>
      <c r="P87" s="153">
        <v>0.384</v>
      </c>
      <c r="Q87" s="153">
        <v>0.384</v>
      </c>
      <c r="R87" s="153">
        <v>0.384</v>
      </c>
      <c r="S87" s="153">
        <v>0.384</v>
      </c>
      <c r="T87" s="171">
        <f aca="true" t="shared" si="27" ref="T87:T111">SUM(J87:S87)</f>
        <v>3.1109999999999993</v>
      </c>
      <c r="U87" s="154">
        <f>2.102+0.326</f>
        <v>2.428</v>
      </c>
      <c r="V87" s="236">
        <f t="shared" si="23"/>
        <v>0.6829999999999994</v>
      </c>
      <c r="W87" s="153">
        <v>0.384</v>
      </c>
      <c r="X87" s="153">
        <v>0.756</v>
      </c>
      <c r="Y87" s="128"/>
      <c r="Z87" s="168">
        <f t="shared" si="24"/>
        <v>4.2509999999999994</v>
      </c>
      <c r="AB87" s="88">
        <f t="shared" si="18"/>
        <v>0</v>
      </c>
      <c r="AD87" s="298"/>
      <c r="AE87" s="298">
        <v>0.88</v>
      </c>
      <c r="AF87" s="298"/>
      <c r="AG87" s="298"/>
      <c r="AH87" s="298"/>
      <c r="AI87" s="298"/>
      <c r="AJ87" s="298">
        <f t="shared" si="25"/>
        <v>3.371</v>
      </c>
      <c r="AK87" s="298"/>
      <c r="AL87" s="298"/>
      <c r="AM87" s="301"/>
      <c r="AN87" s="301">
        <f t="shared" si="26"/>
        <v>4.251</v>
      </c>
      <c r="AP87" s="301"/>
      <c r="AQ87" s="301">
        <v>3.371</v>
      </c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301"/>
    </row>
    <row r="88" spans="3:56" ht="12.75">
      <c r="C88" s="155" t="s">
        <v>101</v>
      </c>
      <c r="D88" s="203"/>
      <c r="E88" s="149"/>
      <c r="F88" s="150">
        <v>2.048</v>
      </c>
      <c r="G88" s="150"/>
      <c r="H88" s="123"/>
      <c r="I88" s="151"/>
      <c r="J88" s="152"/>
      <c r="K88" s="153">
        <v>0.094</v>
      </c>
      <c r="L88" s="200">
        <v>0.216</v>
      </c>
      <c r="M88" s="153">
        <v>0.216</v>
      </c>
      <c r="N88" s="153">
        <v>0.216</v>
      </c>
      <c r="O88" s="153">
        <v>0.216</v>
      </c>
      <c r="P88" s="153">
        <v>0.216</v>
      </c>
      <c r="Q88" s="153">
        <v>0.216</v>
      </c>
      <c r="R88" s="153">
        <v>0.216</v>
      </c>
      <c r="S88" s="153">
        <v>0.216</v>
      </c>
      <c r="T88" s="171">
        <f t="shared" si="27"/>
        <v>1.8219999999999998</v>
      </c>
      <c r="U88" s="154">
        <v>1.366</v>
      </c>
      <c r="V88" s="236">
        <f t="shared" si="23"/>
        <v>0.45599999999999974</v>
      </c>
      <c r="W88" s="153">
        <v>0.216</v>
      </c>
      <c r="X88" s="153">
        <v>0.01</v>
      </c>
      <c r="Y88" s="128"/>
      <c r="Z88" s="168">
        <f t="shared" si="24"/>
        <v>2.048</v>
      </c>
      <c r="AB88" s="88">
        <f t="shared" si="18"/>
        <v>0</v>
      </c>
      <c r="AD88" s="298"/>
      <c r="AE88" s="298"/>
      <c r="AF88" s="298"/>
      <c r="AG88" s="298"/>
      <c r="AH88" s="298"/>
      <c r="AI88" s="298"/>
      <c r="AJ88" s="298">
        <f t="shared" si="25"/>
        <v>2.048</v>
      </c>
      <c r="AK88" s="298"/>
      <c r="AL88" s="298"/>
      <c r="AM88" s="301"/>
      <c r="AN88" s="301">
        <f t="shared" si="26"/>
        <v>2.048</v>
      </c>
      <c r="AP88" s="301"/>
      <c r="AQ88" s="301"/>
      <c r="AR88" s="301"/>
      <c r="AS88" s="301"/>
      <c r="AT88" s="301">
        <v>2.048</v>
      </c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</row>
    <row r="89" spans="3:56" ht="12.75">
      <c r="C89" s="155" t="s">
        <v>102</v>
      </c>
      <c r="D89" s="203"/>
      <c r="E89" s="149"/>
      <c r="F89" s="150">
        <v>0.204</v>
      </c>
      <c r="G89" s="150"/>
      <c r="H89" s="123"/>
      <c r="I89" s="151"/>
      <c r="J89" s="152"/>
      <c r="K89" s="153">
        <v>0.027</v>
      </c>
      <c r="L89" s="200">
        <v>0.026</v>
      </c>
      <c r="M89" s="153">
        <v>0.026</v>
      </c>
      <c r="N89" s="153">
        <v>0.086</v>
      </c>
      <c r="O89" s="153">
        <v>0.039</v>
      </c>
      <c r="P89" s="153"/>
      <c r="Q89" s="153"/>
      <c r="R89" s="153"/>
      <c r="S89" s="153"/>
      <c r="T89" s="171">
        <f t="shared" si="27"/>
        <v>0.204</v>
      </c>
      <c r="U89" s="154">
        <v>0.208</v>
      </c>
      <c r="V89" s="236">
        <f t="shared" si="23"/>
        <v>-0.0040000000000000036</v>
      </c>
      <c r="W89" s="153"/>
      <c r="X89" s="153"/>
      <c r="Y89" s="128"/>
      <c r="Z89" s="168">
        <f t="shared" si="24"/>
        <v>0.204</v>
      </c>
      <c r="AB89" s="88">
        <f t="shared" si="18"/>
        <v>0</v>
      </c>
      <c r="AD89" s="298"/>
      <c r="AE89" s="298"/>
      <c r="AF89" s="298"/>
      <c r="AG89" s="298"/>
      <c r="AH89" s="298"/>
      <c r="AI89" s="298"/>
      <c r="AJ89" s="298">
        <f t="shared" si="25"/>
        <v>0.016</v>
      </c>
      <c r="AK89" s="298">
        <v>0.188</v>
      </c>
      <c r="AL89" s="298"/>
      <c r="AM89" s="301"/>
      <c r="AN89" s="301">
        <f t="shared" si="26"/>
        <v>0.20400000000000001</v>
      </c>
      <c r="AP89" s="301"/>
      <c r="AQ89" s="301"/>
      <c r="AR89" s="301"/>
      <c r="AS89" s="301"/>
      <c r="AT89" s="301"/>
      <c r="AU89" s="301">
        <v>0.014</v>
      </c>
      <c r="AV89" s="301"/>
      <c r="AW89" s="301">
        <v>0.002</v>
      </c>
      <c r="AX89" s="301"/>
      <c r="AY89" s="301"/>
      <c r="AZ89" s="301"/>
      <c r="BA89" s="301"/>
      <c r="BB89" s="301"/>
      <c r="BC89" s="301"/>
      <c r="BD89" s="301"/>
    </row>
    <row r="90" spans="3:56" ht="12.75">
      <c r="C90" s="155" t="s">
        <v>103</v>
      </c>
      <c r="D90" s="203"/>
      <c r="E90" s="149"/>
      <c r="F90" s="150">
        <v>3.033</v>
      </c>
      <c r="G90" s="150"/>
      <c r="H90" s="123">
        <f>2000</f>
        <v>2000</v>
      </c>
      <c r="I90" s="314" t="s">
        <v>577</v>
      </c>
      <c r="J90" s="152">
        <v>0.6</v>
      </c>
      <c r="K90" s="153">
        <v>0.6</v>
      </c>
      <c r="L90" s="200">
        <v>0.6</v>
      </c>
      <c r="M90" s="153">
        <v>0.6</v>
      </c>
      <c r="N90" s="153">
        <v>0.278</v>
      </c>
      <c r="O90" s="153"/>
      <c r="P90" s="153"/>
      <c r="Q90" s="127"/>
      <c r="R90" s="127"/>
      <c r="S90" s="127"/>
      <c r="T90" s="171">
        <f t="shared" si="27"/>
        <v>2.678</v>
      </c>
      <c r="U90" s="154">
        <v>2.55</v>
      </c>
      <c r="V90" s="236">
        <f t="shared" si="23"/>
        <v>0.1280000000000001</v>
      </c>
      <c r="W90" s="127"/>
      <c r="X90" s="127">
        <f>0.186+0.169</f>
        <v>0.355</v>
      </c>
      <c r="Y90" s="128"/>
      <c r="Z90" s="168">
        <f t="shared" si="24"/>
        <v>3.033</v>
      </c>
      <c r="AB90" s="88">
        <f t="shared" si="18"/>
        <v>0</v>
      </c>
      <c r="AD90" s="298"/>
      <c r="AE90" s="298">
        <v>1.45</v>
      </c>
      <c r="AF90" s="298"/>
      <c r="AG90" s="298">
        <v>1.414</v>
      </c>
      <c r="AH90" s="298"/>
      <c r="AI90" s="298"/>
      <c r="AJ90" s="298">
        <f t="shared" si="25"/>
        <v>0</v>
      </c>
      <c r="AK90" s="298"/>
      <c r="AL90" s="298"/>
      <c r="AM90" s="301"/>
      <c r="AN90" s="301">
        <f t="shared" si="26"/>
        <v>2.864</v>
      </c>
      <c r="AP90" s="301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301"/>
      <c r="BB90" s="301"/>
      <c r="BC90" s="301"/>
      <c r="BD90" s="301"/>
    </row>
    <row r="91" spans="3:56" ht="12.75">
      <c r="C91" s="155" t="s">
        <v>104</v>
      </c>
      <c r="D91" s="203"/>
      <c r="E91" s="149"/>
      <c r="F91" s="150">
        <v>0.335</v>
      </c>
      <c r="G91" s="150"/>
      <c r="H91" s="123"/>
      <c r="I91" s="151"/>
      <c r="J91" s="152"/>
      <c r="K91" s="153">
        <v>0.005</v>
      </c>
      <c r="L91" s="200">
        <v>0.036</v>
      </c>
      <c r="M91" s="153">
        <v>0.034</v>
      </c>
      <c r="N91" s="153">
        <v>0.034</v>
      </c>
      <c r="O91" s="153">
        <v>0.034</v>
      </c>
      <c r="P91" s="153">
        <v>0.034</v>
      </c>
      <c r="Q91" s="153">
        <v>0.034</v>
      </c>
      <c r="R91" s="153">
        <v>0.034</v>
      </c>
      <c r="S91" s="153">
        <v>0.034</v>
      </c>
      <c r="T91" s="171">
        <f t="shared" si="27"/>
        <v>0.279</v>
      </c>
      <c r="U91" s="154">
        <v>0.049</v>
      </c>
      <c r="V91" s="236">
        <f t="shared" si="23"/>
        <v>0.23000000000000004</v>
      </c>
      <c r="W91" s="153">
        <v>0.034</v>
      </c>
      <c r="X91" s="153">
        <v>0.022</v>
      </c>
      <c r="Y91" s="128"/>
      <c r="Z91" s="168">
        <f t="shared" si="24"/>
        <v>0.335</v>
      </c>
      <c r="AB91" s="88">
        <f t="shared" si="18"/>
        <v>0</v>
      </c>
      <c r="AD91" s="298">
        <v>0.329</v>
      </c>
      <c r="AE91" s="298"/>
      <c r="AF91" s="298"/>
      <c r="AG91" s="298">
        <v>0.006</v>
      </c>
      <c r="AH91" s="298"/>
      <c r="AI91" s="298"/>
      <c r="AJ91" s="298">
        <f t="shared" si="25"/>
        <v>0</v>
      </c>
      <c r="AK91" s="298"/>
      <c r="AL91" s="298"/>
      <c r="AM91" s="301"/>
      <c r="AN91" s="301">
        <f t="shared" si="26"/>
        <v>0.335</v>
      </c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</row>
    <row r="92" spans="3:56" ht="12.75">
      <c r="C92" s="155" t="s">
        <v>188</v>
      </c>
      <c r="D92" s="203"/>
      <c r="E92" s="149"/>
      <c r="F92" s="150">
        <v>0.087</v>
      </c>
      <c r="G92" s="150"/>
      <c r="H92" s="123"/>
      <c r="I92" s="151"/>
      <c r="J92" s="152">
        <v>0.007</v>
      </c>
      <c r="K92" s="153">
        <v>0.007</v>
      </c>
      <c r="L92" s="200">
        <v>0.007</v>
      </c>
      <c r="M92" s="200">
        <v>0.007</v>
      </c>
      <c r="N92" s="200">
        <v>0.007</v>
      </c>
      <c r="O92" s="200">
        <v>0.007</v>
      </c>
      <c r="P92" s="200">
        <v>0.007</v>
      </c>
      <c r="Q92" s="200">
        <v>0.007</v>
      </c>
      <c r="R92" s="200">
        <v>0.007</v>
      </c>
      <c r="S92" s="200">
        <v>0.007</v>
      </c>
      <c r="T92" s="171">
        <f t="shared" si="27"/>
        <v>0.07</v>
      </c>
      <c r="U92" s="154">
        <v>0.015</v>
      </c>
      <c r="V92" s="236">
        <f t="shared" si="23"/>
        <v>0.05500000000000001</v>
      </c>
      <c r="W92" s="200">
        <v>0.007</v>
      </c>
      <c r="X92" s="200">
        <v>0.01</v>
      </c>
      <c r="Y92" s="128"/>
      <c r="Z92" s="168">
        <f t="shared" si="24"/>
        <v>0.08700000000000001</v>
      </c>
      <c r="AB92" s="88">
        <f t="shared" si="18"/>
        <v>0</v>
      </c>
      <c r="AD92" s="298"/>
      <c r="AE92" s="298"/>
      <c r="AF92" s="298"/>
      <c r="AG92" s="298">
        <v>0.087</v>
      </c>
      <c r="AH92" s="298"/>
      <c r="AI92" s="298"/>
      <c r="AJ92" s="298">
        <f t="shared" si="25"/>
        <v>0</v>
      </c>
      <c r="AK92" s="298"/>
      <c r="AL92" s="298"/>
      <c r="AM92" s="301"/>
      <c r="AN92" s="301">
        <f t="shared" si="26"/>
        <v>0.087</v>
      </c>
      <c r="AP92" s="301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301"/>
      <c r="BC92" s="301"/>
      <c r="BD92" s="301"/>
    </row>
    <row r="93" spans="3:56" ht="12.75">
      <c r="C93" s="155" t="s">
        <v>158</v>
      </c>
      <c r="D93" s="203"/>
      <c r="E93" s="149"/>
      <c r="F93" s="150">
        <v>1.491</v>
      </c>
      <c r="G93" s="150"/>
      <c r="H93" s="123"/>
      <c r="I93" s="151"/>
      <c r="J93" s="152"/>
      <c r="K93" s="153"/>
      <c r="L93" s="200">
        <v>0.139</v>
      </c>
      <c r="M93" s="153">
        <v>0.223</v>
      </c>
      <c r="N93" s="153">
        <v>0.089</v>
      </c>
      <c r="O93" s="153">
        <v>0.185</v>
      </c>
      <c r="P93" s="153">
        <v>0.15</v>
      </c>
      <c r="Q93" s="153">
        <v>0.11</v>
      </c>
      <c r="R93" s="127">
        <v>0.13</v>
      </c>
      <c r="S93" s="127">
        <v>0.225</v>
      </c>
      <c r="T93" s="171">
        <f t="shared" si="27"/>
        <v>1.251</v>
      </c>
      <c r="U93" s="154">
        <v>0.554</v>
      </c>
      <c r="V93" s="236">
        <f t="shared" si="23"/>
        <v>0.6969999999999998</v>
      </c>
      <c r="W93" s="127">
        <v>0.155</v>
      </c>
      <c r="X93" s="127">
        <v>0.085</v>
      </c>
      <c r="Y93" s="128"/>
      <c r="Z93" s="168">
        <f t="shared" si="24"/>
        <v>1.4909999999999999</v>
      </c>
      <c r="AB93" s="88">
        <f t="shared" si="18"/>
        <v>0</v>
      </c>
      <c r="AD93" s="298"/>
      <c r="AE93" s="298"/>
      <c r="AF93" s="298"/>
      <c r="AG93" s="298"/>
      <c r="AH93" s="298"/>
      <c r="AI93" s="298"/>
      <c r="AJ93" s="298">
        <f t="shared" si="25"/>
        <v>0</v>
      </c>
      <c r="AK93" s="298"/>
      <c r="AL93" s="298"/>
      <c r="AM93" s="301"/>
      <c r="AN93" s="301">
        <f t="shared" si="26"/>
        <v>0</v>
      </c>
      <c r="AP93" s="301"/>
      <c r="AQ93" s="301"/>
      <c r="AR93" s="301"/>
      <c r="AS93" s="301"/>
      <c r="AT93" s="301"/>
      <c r="AU93" s="301"/>
      <c r="AV93" s="301"/>
      <c r="AW93" s="301"/>
      <c r="AX93" s="301"/>
      <c r="AY93" s="301"/>
      <c r="AZ93" s="301"/>
      <c r="BA93" s="301"/>
      <c r="BB93" s="301"/>
      <c r="BC93" s="301"/>
      <c r="BD93" s="301"/>
    </row>
    <row r="94" spans="3:56" ht="12.75">
      <c r="C94" s="155" t="s">
        <v>243</v>
      </c>
      <c r="D94" s="203"/>
      <c r="E94" s="149"/>
      <c r="F94" s="150">
        <v>0.083</v>
      </c>
      <c r="G94" s="150"/>
      <c r="H94" s="123"/>
      <c r="I94" s="151"/>
      <c r="J94" s="152">
        <v>0.083</v>
      </c>
      <c r="K94" s="153"/>
      <c r="L94" s="200"/>
      <c r="M94" s="153"/>
      <c r="N94" s="153"/>
      <c r="O94" s="153"/>
      <c r="P94" s="153"/>
      <c r="Q94" s="153"/>
      <c r="R94" s="127"/>
      <c r="S94" s="127"/>
      <c r="T94" s="171">
        <f t="shared" si="27"/>
        <v>0.083</v>
      </c>
      <c r="U94" s="154">
        <v>0.099</v>
      </c>
      <c r="V94" s="236">
        <f t="shared" si="23"/>
        <v>-0.016</v>
      </c>
      <c r="W94" s="127"/>
      <c r="X94" s="127"/>
      <c r="Y94" s="128"/>
      <c r="Z94" s="168">
        <f t="shared" si="24"/>
        <v>0.083</v>
      </c>
      <c r="AB94" s="88">
        <f t="shared" si="18"/>
        <v>0</v>
      </c>
      <c r="AD94" s="298"/>
      <c r="AE94" s="298"/>
      <c r="AF94" s="298"/>
      <c r="AG94" s="298">
        <v>0.083</v>
      </c>
      <c r="AH94" s="298"/>
      <c r="AI94" s="298"/>
      <c r="AJ94" s="298">
        <f t="shared" si="25"/>
        <v>0</v>
      </c>
      <c r="AK94" s="298"/>
      <c r="AL94" s="298"/>
      <c r="AM94" s="301"/>
      <c r="AN94" s="301">
        <f t="shared" si="26"/>
        <v>0.083</v>
      </c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1"/>
      <c r="BC94" s="301"/>
      <c r="BD94" s="301"/>
    </row>
    <row r="95" spans="3:56" ht="12.75">
      <c r="C95" s="155" t="s">
        <v>244</v>
      </c>
      <c r="D95" s="203"/>
      <c r="E95" s="149"/>
      <c r="F95" s="150">
        <v>0.071</v>
      </c>
      <c r="G95" s="150"/>
      <c r="H95" s="123"/>
      <c r="I95" s="151"/>
      <c r="J95" s="152">
        <v>0.071</v>
      </c>
      <c r="K95" s="153"/>
      <c r="L95" s="200"/>
      <c r="M95" s="153"/>
      <c r="N95" s="153"/>
      <c r="O95" s="153"/>
      <c r="P95" s="153"/>
      <c r="Q95" s="153"/>
      <c r="R95" s="127"/>
      <c r="S95" s="127"/>
      <c r="T95" s="171">
        <f t="shared" si="27"/>
        <v>0.071</v>
      </c>
      <c r="U95" s="154">
        <v>0.064</v>
      </c>
      <c r="V95" s="236">
        <f t="shared" si="23"/>
        <v>0.006999999999999992</v>
      </c>
      <c r="W95" s="127"/>
      <c r="X95" s="127"/>
      <c r="Y95" s="128"/>
      <c r="Z95" s="168">
        <f t="shared" si="24"/>
        <v>0.071</v>
      </c>
      <c r="AB95" s="88">
        <f t="shared" si="18"/>
        <v>0</v>
      </c>
      <c r="AD95" s="298"/>
      <c r="AE95" s="298"/>
      <c r="AF95" s="298"/>
      <c r="AG95" s="298">
        <v>0.071</v>
      </c>
      <c r="AH95" s="298"/>
      <c r="AI95" s="298"/>
      <c r="AJ95" s="298">
        <f t="shared" si="25"/>
        <v>0</v>
      </c>
      <c r="AK95" s="298"/>
      <c r="AL95" s="298"/>
      <c r="AM95" s="301"/>
      <c r="AN95" s="301">
        <f t="shared" si="26"/>
        <v>0.071</v>
      </c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</row>
    <row r="96" spans="3:56" ht="12.75">
      <c r="C96" s="155" t="s">
        <v>190</v>
      </c>
      <c r="D96" s="203"/>
      <c r="E96" s="149"/>
      <c r="F96" s="150">
        <v>0.037</v>
      </c>
      <c r="G96" s="150"/>
      <c r="H96" s="123"/>
      <c r="I96" s="151"/>
      <c r="J96" s="152"/>
      <c r="K96" s="153">
        <v>0.001</v>
      </c>
      <c r="L96" s="200">
        <v>0.004</v>
      </c>
      <c r="M96" s="153">
        <v>0.005</v>
      </c>
      <c r="N96" s="153">
        <v>0.005</v>
      </c>
      <c r="O96" s="153">
        <v>0.005</v>
      </c>
      <c r="P96" s="153">
        <v>0.005</v>
      </c>
      <c r="Q96" s="127">
        <v>0.005</v>
      </c>
      <c r="R96" s="127">
        <v>0.007</v>
      </c>
      <c r="S96" s="127"/>
      <c r="T96" s="171">
        <f t="shared" si="27"/>
        <v>0.037000000000000005</v>
      </c>
      <c r="U96" s="154">
        <v>0.014</v>
      </c>
      <c r="V96" s="236">
        <f aca="true" t="shared" si="28" ref="V96:V101">T96-U96</f>
        <v>0.023000000000000007</v>
      </c>
      <c r="W96" s="127"/>
      <c r="X96" s="127"/>
      <c r="Y96" s="128"/>
      <c r="Z96" s="168">
        <f t="shared" si="24"/>
        <v>0.037000000000000005</v>
      </c>
      <c r="AB96" s="88">
        <f t="shared" si="18"/>
        <v>0</v>
      </c>
      <c r="AD96" s="298"/>
      <c r="AE96" s="298"/>
      <c r="AF96" s="298"/>
      <c r="AG96" s="298">
        <v>0.037</v>
      </c>
      <c r="AH96" s="298"/>
      <c r="AI96" s="298"/>
      <c r="AJ96" s="298">
        <f t="shared" si="25"/>
        <v>0</v>
      </c>
      <c r="AK96" s="298"/>
      <c r="AL96" s="298"/>
      <c r="AM96" s="301"/>
      <c r="AN96" s="301">
        <f t="shared" si="26"/>
        <v>0.037</v>
      </c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</row>
    <row r="97" spans="3:56" ht="12.75">
      <c r="C97" s="155" t="s">
        <v>399</v>
      </c>
      <c r="D97" s="203"/>
      <c r="E97" s="149"/>
      <c r="F97" s="150">
        <v>0.008</v>
      </c>
      <c r="G97" s="150"/>
      <c r="H97" s="123"/>
      <c r="I97" s="151"/>
      <c r="J97" s="152">
        <v>0.008</v>
      </c>
      <c r="K97" s="153"/>
      <c r="L97" s="200"/>
      <c r="M97" s="153"/>
      <c r="N97" s="153"/>
      <c r="O97" s="153"/>
      <c r="P97" s="153"/>
      <c r="Q97" s="127"/>
      <c r="R97" s="127"/>
      <c r="S97" s="127"/>
      <c r="T97" s="171">
        <f t="shared" si="27"/>
        <v>0.008</v>
      </c>
      <c r="U97" s="154">
        <v>0.001</v>
      </c>
      <c r="V97" s="236">
        <f t="shared" si="28"/>
        <v>0.007</v>
      </c>
      <c r="W97" s="127"/>
      <c r="X97" s="127"/>
      <c r="Y97" s="128"/>
      <c r="Z97" s="168">
        <f t="shared" si="24"/>
        <v>0.008</v>
      </c>
      <c r="AB97" s="88">
        <f t="shared" si="18"/>
        <v>0</v>
      </c>
      <c r="AD97" s="298"/>
      <c r="AE97" s="298"/>
      <c r="AF97" s="298"/>
      <c r="AG97" s="298"/>
      <c r="AH97" s="298"/>
      <c r="AI97" s="298"/>
      <c r="AJ97" s="298">
        <f t="shared" si="25"/>
        <v>0.008</v>
      </c>
      <c r="AK97" s="298"/>
      <c r="AL97" s="298"/>
      <c r="AM97" s="301"/>
      <c r="AN97" s="301">
        <f t="shared" si="26"/>
        <v>0.008</v>
      </c>
      <c r="AP97" s="301"/>
      <c r="AQ97" s="301"/>
      <c r="AR97" s="301"/>
      <c r="AS97" s="301"/>
      <c r="AT97" s="301">
        <v>0.008</v>
      </c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</row>
    <row r="98" spans="3:56" ht="12.75">
      <c r="C98" s="155" t="s">
        <v>400</v>
      </c>
      <c r="D98" s="203"/>
      <c r="E98" s="149"/>
      <c r="F98" s="150">
        <v>0.026</v>
      </c>
      <c r="G98" s="150"/>
      <c r="H98" s="123"/>
      <c r="I98" s="151"/>
      <c r="J98" s="152"/>
      <c r="K98" s="153"/>
      <c r="L98" s="200"/>
      <c r="M98" s="153"/>
      <c r="N98" s="153"/>
      <c r="O98" s="153">
        <v>0.01</v>
      </c>
      <c r="P98" s="153"/>
      <c r="Q98" s="153"/>
      <c r="R98" s="127"/>
      <c r="S98" s="127"/>
      <c r="T98" s="171">
        <f t="shared" si="27"/>
        <v>0.01</v>
      </c>
      <c r="U98" s="154">
        <v>0.026</v>
      </c>
      <c r="V98" s="236">
        <f t="shared" si="28"/>
        <v>-0.016</v>
      </c>
      <c r="W98" s="127"/>
      <c r="X98" s="127"/>
      <c r="Y98" s="128"/>
      <c r="Z98" s="168">
        <f t="shared" si="24"/>
        <v>0.01</v>
      </c>
      <c r="AB98" s="88">
        <f t="shared" si="18"/>
        <v>0.016</v>
      </c>
      <c r="AD98" s="298"/>
      <c r="AE98" s="298"/>
      <c r="AF98" s="298"/>
      <c r="AG98" s="298">
        <v>0.026</v>
      </c>
      <c r="AH98" s="298"/>
      <c r="AI98" s="298"/>
      <c r="AJ98" s="298">
        <f t="shared" si="25"/>
        <v>0.169</v>
      </c>
      <c r="AK98" s="298"/>
      <c r="AL98" s="298"/>
      <c r="AM98" s="301"/>
      <c r="AN98" s="301">
        <f t="shared" si="26"/>
        <v>0.195</v>
      </c>
      <c r="AP98" s="301"/>
      <c r="AQ98" s="301"/>
      <c r="AR98" s="301"/>
      <c r="AS98" s="301"/>
      <c r="AT98" s="301"/>
      <c r="AU98" s="301"/>
      <c r="AV98" s="301"/>
      <c r="AW98" s="301"/>
      <c r="AX98" s="301"/>
      <c r="AY98" s="301">
        <v>0.169</v>
      </c>
      <c r="AZ98" s="301"/>
      <c r="BA98" s="301"/>
      <c r="BB98" s="301"/>
      <c r="BC98" s="301"/>
      <c r="BD98" s="301"/>
    </row>
    <row r="99" spans="3:56" ht="12.75">
      <c r="C99" s="155" t="s">
        <v>401</v>
      </c>
      <c r="D99" s="203"/>
      <c r="E99" s="149"/>
      <c r="F99" s="150">
        <v>0.072</v>
      </c>
      <c r="G99" s="150"/>
      <c r="H99" s="123"/>
      <c r="I99" s="151"/>
      <c r="J99" s="152">
        <v>0.065</v>
      </c>
      <c r="K99" s="153"/>
      <c r="L99" s="200"/>
      <c r="M99" s="153"/>
      <c r="N99" s="153"/>
      <c r="O99" s="153"/>
      <c r="P99" s="153"/>
      <c r="Q99" s="153"/>
      <c r="R99" s="127"/>
      <c r="S99" s="127"/>
      <c r="T99" s="171">
        <f t="shared" si="27"/>
        <v>0.065</v>
      </c>
      <c r="U99" s="154">
        <v>0.06</v>
      </c>
      <c r="V99" s="236">
        <f t="shared" si="28"/>
        <v>0.0050000000000000044</v>
      </c>
      <c r="W99" s="127"/>
      <c r="X99" s="127"/>
      <c r="Y99" s="128"/>
      <c r="Z99" s="168">
        <f t="shared" si="24"/>
        <v>0.065</v>
      </c>
      <c r="AB99" s="88">
        <f t="shared" si="18"/>
        <v>0.006999999999999992</v>
      </c>
      <c r="AD99" s="298"/>
      <c r="AE99" s="298"/>
      <c r="AF99" s="298"/>
      <c r="AG99" s="298">
        <v>0.072</v>
      </c>
      <c r="AH99" s="298"/>
      <c r="AI99" s="298"/>
      <c r="AJ99" s="298">
        <f t="shared" si="25"/>
        <v>1.491</v>
      </c>
      <c r="AK99" s="298"/>
      <c r="AL99" s="298"/>
      <c r="AM99" s="301"/>
      <c r="AN99" s="301">
        <f t="shared" si="26"/>
        <v>1.5630000000000002</v>
      </c>
      <c r="AP99" s="301"/>
      <c r="AQ99" s="301"/>
      <c r="AR99" s="301"/>
      <c r="AS99" s="301"/>
      <c r="AT99" s="301"/>
      <c r="AU99" s="301"/>
      <c r="AV99" s="301"/>
      <c r="AW99" s="301"/>
      <c r="AX99" s="301"/>
      <c r="AY99" s="301">
        <v>1.491</v>
      </c>
      <c r="AZ99" s="301"/>
      <c r="BA99" s="301"/>
      <c r="BB99" s="301"/>
      <c r="BC99" s="301"/>
      <c r="BD99" s="301"/>
    </row>
    <row r="100" spans="3:56" ht="12.75">
      <c r="C100" s="155" t="s">
        <v>409</v>
      </c>
      <c r="D100" s="203"/>
      <c r="E100" s="149"/>
      <c r="F100" s="150">
        <v>0.053</v>
      </c>
      <c r="G100" s="150"/>
      <c r="H100" s="123"/>
      <c r="I100" s="151"/>
      <c r="J100" s="152"/>
      <c r="K100" s="153"/>
      <c r="L100" s="200"/>
      <c r="M100" s="153"/>
      <c r="N100" s="153">
        <v>0.051</v>
      </c>
      <c r="O100" s="153"/>
      <c r="P100" s="153"/>
      <c r="Q100" s="153"/>
      <c r="R100" s="153"/>
      <c r="S100" s="153"/>
      <c r="T100" s="171">
        <f t="shared" si="27"/>
        <v>0.051</v>
      </c>
      <c r="U100" s="154">
        <v>0.051</v>
      </c>
      <c r="V100" s="236">
        <f t="shared" si="28"/>
        <v>0</v>
      </c>
      <c r="W100" s="153"/>
      <c r="X100" s="153">
        <v>0.002</v>
      </c>
      <c r="Y100" s="128"/>
      <c r="Z100" s="168">
        <f t="shared" si="24"/>
        <v>0.053</v>
      </c>
      <c r="AB100" s="88">
        <f t="shared" si="18"/>
        <v>0</v>
      </c>
      <c r="AD100" s="298"/>
      <c r="AE100" s="298"/>
      <c r="AF100" s="298"/>
      <c r="AG100" s="298"/>
      <c r="AH100" s="298"/>
      <c r="AI100" s="298"/>
      <c r="AJ100" s="298">
        <f t="shared" si="25"/>
        <v>0.053</v>
      </c>
      <c r="AK100" s="298"/>
      <c r="AL100" s="298"/>
      <c r="AM100" s="301"/>
      <c r="AN100" s="301">
        <f t="shared" si="26"/>
        <v>0.053</v>
      </c>
      <c r="AP100" s="301"/>
      <c r="AQ100" s="301"/>
      <c r="AR100" s="301"/>
      <c r="AS100" s="301">
        <v>0.053</v>
      </c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</row>
    <row r="101" spans="3:56" ht="12.75">
      <c r="C101" s="155" t="s">
        <v>460</v>
      </c>
      <c r="D101" s="203"/>
      <c r="E101" s="149"/>
      <c r="F101" s="150">
        <v>0.082</v>
      </c>
      <c r="G101" s="150"/>
      <c r="H101" s="123"/>
      <c r="I101" s="151"/>
      <c r="J101" s="152"/>
      <c r="K101" s="153"/>
      <c r="L101" s="200"/>
      <c r="M101" s="153"/>
      <c r="N101" s="153"/>
      <c r="O101" s="153"/>
      <c r="P101" s="153"/>
      <c r="Q101" s="153"/>
      <c r="R101" s="127"/>
      <c r="S101" s="127"/>
      <c r="T101" s="171">
        <f t="shared" si="27"/>
        <v>0</v>
      </c>
      <c r="U101" s="154">
        <v>0.005</v>
      </c>
      <c r="V101" s="236">
        <f t="shared" si="28"/>
        <v>-0.005</v>
      </c>
      <c r="W101" s="127"/>
      <c r="X101" s="127">
        <v>0.082</v>
      </c>
      <c r="Y101" s="128"/>
      <c r="Z101" s="168">
        <f t="shared" si="24"/>
        <v>0.082</v>
      </c>
      <c r="AB101" s="88">
        <f t="shared" si="18"/>
        <v>0</v>
      </c>
      <c r="AD101" s="298"/>
      <c r="AE101" s="298"/>
      <c r="AF101" s="298"/>
      <c r="AG101" s="298"/>
      <c r="AH101" s="298"/>
      <c r="AI101" s="298"/>
      <c r="AJ101" s="298">
        <f t="shared" si="25"/>
        <v>0.082</v>
      </c>
      <c r="AK101" s="298"/>
      <c r="AL101" s="298"/>
      <c r="AM101" s="301"/>
      <c r="AN101" s="301">
        <f t="shared" si="26"/>
        <v>0.082</v>
      </c>
      <c r="AP101" s="301"/>
      <c r="AQ101" s="301"/>
      <c r="AR101" s="301"/>
      <c r="AS101" s="301">
        <v>0.082</v>
      </c>
      <c r="AT101" s="301"/>
      <c r="AU101" s="301"/>
      <c r="AV101" s="301"/>
      <c r="AW101" s="301"/>
      <c r="AX101" s="301"/>
      <c r="AY101" s="301"/>
      <c r="AZ101" s="301"/>
      <c r="BA101" s="301"/>
      <c r="BB101" s="301"/>
      <c r="BC101" s="301"/>
      <c r="BD101" s="301"/>
    </row>
    <row r="102" spans="3:56" ht="12.75">
      <c r="C102" s="174" t="s">
        <v>189</v>
      </c>
      <c r="D102" s="256"/>
      <c r="E102" s="149"/>
      <c r="F102" s="150"/>
      <c r="G102" s="150"/>
      <c r="H102" s="123"/>
      <c r="I102" s="151"/>
      <c r="J102" s="152"/>
      <c r="K102" s="153"/>
      <c r="L102" s="200"/>
      <c r="M102" s="153"/>
      <c r="N102" s="153"/>
      <c r="O102" s="153"/>
      <c r="P102" s="153"/>
      <c r="Q102" s="127"/>
      <c r="R102" s="127"/>
      <c r="S102" s="127"/>
      <c r="T102" s="167"/>
      <c r="U102" s="154"/>
      <c r="V102" s="232"/>
      <c r="W102" s="127"/>
      <c r="X102" s="127"/>
      <c r="Y102" s="128"/>
      <c r="Z102" s="168">
        <f t="shared" si="24"/>
        <v>0</v>
      </c>
      <c r="AB102" s="88">
        <f t="shared" si="18"/>
        <v>0</v>
      </c>
      <c r="AD102" s="298"/>
      <c r="AE102" s="298"/>
      <c r="AF102" s="298"/>
      <c r="AG102" s="298"/>
      <c r="AH102" s="298"/>
      <c r="AI102" s="298"/>
      <c r="AJ102" s="298">
        <f t="shared" si="25"/>
        <v>0</v>
      </c>
      <c r="AK102" s="298"/>
      <c r="AL102" s="298"/>
      <c r="AM102" s="301"/>
      <c r="AN102" s="301">
        <f t="shared" si="26"/>
        <v>0</v>
      </c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301"/>
      <c r="BB102" s="301"/>
      <c r="BC102" s="301"/>
      <c r="BD102" s="301"/>
    </row>
    <row r="103" spans="3:56" ht="12.75">
      <c r="C103" s="155" t="s">
        <v>191</v>
      </c>
      <c r="D103" s="203"/>
      <c r="E103" s="149"/>
      <c r="F103" s="150">
        <v>0.033</v>
      </c>
      <c r="G103" s="150"/>
      <c r="H103" s="123"/>
      <c r="I103" s="151"/>
      <c r="J103" s="152"/>
      <c r="K103" s="153"/>
      <c r="L103" s="200">
        <v>0.006</v>
      </c>
      <c r="M103" s="153">
        <v>0.014</v>
      </c>
      <c r="N103" s="153">
        <v>0.014</v>
      </c>
      <c r="O103" s="153">
        <v>0.008</v>
      </c>
      <c r="P103" s="153">
        <v>0.008</v>
      </c>
      <c r="Q103" s="153">
        <v>0.008</v>
      </c>
      <c r="R103" s="153">
        <v>0.008</v>
      </c>
      <c r="S103" s="153">
        <v>0.008</v>
      </c>
      <c r="T103" s="171">
        <f t="shared" si="27"/>
        <v>0.07400000000000001</v>
      </c>
      <c r="U103" s="154">
        <v>0.019</v>
      </c>
      <c r="V103" s="236">
        <f t="shared" si="23"/>
        <v>0.05500000000000001</v>
      </c>
      <c r="W103" s="153">
        <v>0.008</v>
      </c>
      <c r="X103" s="153">
        <v>0.009</v>
      </c>
      <c r="Y103" s="128"/>
      <c r="Z103" s="168">
        <f t="shared" si="24"/>
        <v>0.09100000000000001</v>
      </c>
      <c r="AB103" s="88">
        <f t="shared" si="18"/>
        <v>-0.05800000000000001</v>
      </c>
      <c r="AD103" s="298"/>
      <c r="AE103" s="298"/>
      <c r="AF103" s="298"/>
      <c r="AG103" s="298">
        <v>0.033</v>
      </c>
      <c r="AH103" s="298"/>
      <c r="AI103" s="298"/>
      <c r="AJ103" s="298">
        <f t="shared" si="25"/>
        <v>0</v>
      </c>
      <c r="AK103" s="298"/>
      <c r="AL103" s="298"/>
      <c r="AM103" s="301"/>
      <c r="AN103" s="301">
        <f t="shared" si="26"/>
        <v>0.033</v>
      </c>
      <c r="AP103" s="301"/>
      <c r="AQ103" s="301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301"/>
    </row>
    <row r="104" spans="3:56" ht="12.75">
      <c r="C104" s="155" t="s">
        <v>130</v>
      </c>
      <c r="D104" s="203"/>
      <c r="E104" s="149"/>
      <c r="F104" s="150">
        <v>0.041</v>
      </c>
      <c r="G104" s="150"/>
      <c r="H104" s="123"/>
      <c r="I104" s="151"/>
      <c r="J104" s="152"/>
      <c r="K104" s="153"/>
      <c r="L104" s="200">
        <v>0.012</v>
      </c>
      <c r="M104" s="200">
        <v>0.012</v>
      </c>
      <c r="N104" s="200">
        <v>0.012</v>
      </c>
      <c r="O104" s="200">
        <v>0.005</v>
      </c>
      <c r="P104" s="200"/>
      <c r="Q104" s="200"/>
      <c r="R104" s="200"/>
      <c r="S104" s="200"/>
      <c r="T104" s="171">
        <f t="shared" si="27"/>
        <v>0.041</v>
      </c>
      <c r="U104" s="154">
        <v>0.006</v>
      </c>
      <c r="V104" s="236">
        <f t="shared" si="23"/>
        <v>0.035</v>
      </c>
      <c r="W104" s="200"/>
      <c r="X104" s="200"/>
      <c r="Y104" s="128"/>
      <c r="Z104" s="168">
        <f t="shared" si="24"/>
        <v>0.041</v>
      </c>
      <c r="AB104" s="88">
        <f t="shared" si="18"/>
        <v>0</v>
      </c>
      <c r="AD104" s="298"/>
      <c r="AE104" s="298"/>
      <c r="AF104" s="298"/>
      <c r="AG104" s="298"/>
      <c r="AH104" s="298"/>
      <c r="AI104" s="298"/>
      <c r="AJ104" s="298">
        <f t="shared" si="25"/>
        <v>0.041</v>
      </c>
      <c r="AK104" s="298"/>
      <c r="AL104" s="298"/>
      <c r="AM104" s="301"/>
      <c r="AN104" s="301">
        <f t="shared" si="26"/>
        <v>0.041</v>
      </c>
      <c r="AP104" s="301"/>
      <c r="AQ104" s="301"/>
      <c r="AR104" s="301"/>
      <c r="AS104" s="301">
        <v>0.041</v>
      </c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</row>
    <row r="105" spans="3:56" ht="12.75">
      <c r="C105" s="155" t="s">
        <v>192</v>
      </c>
      <c r="D105" s="203"/>
      <c r="E105" s="149"/>
      <c r="F105" s="150">
        <v>0.373</v>
      </c>
      <c r="G105" s="150"/>
      <c r="H105" s="123"/>
      <c r="I105" s="151"/>
      <c r="J105" s="152"/>
      <c r="K105" s="153"/>
      <c r="L105" s="200">
        <v>0.037</v>
      </c>
      <c r="M105" s="153">
        <v>0.037</v>
      </c>
      <c r="N105" s="153">
        <v>0.037</v>
      </c>
      <c r="O105" s="153">
        <v>0.037</v>
      </c>
      <c r="P105" s="153">
        <v>0.037</v>
      </c>
      <c r="Q105" s="153">
        <v>0.037</v>
      </c>
      <c r="R105" s="153">
        <v>0.037</v>
      </c>
      <c r="S105" s="153">
        <v>0.037</v>
      </c>
      <c r="T105" s="171">
        <f t="shared" si="27"/>
        <v>0.296</v>
      </c>
      <c r="U105" s="154">
        <v>0.079</v>
      </c>
      <c r="V105" s="236">
        <f t="shared" si="23"/>
        <v>0.21699999999999997</v>
      </c>
      <c r="W105" s="153">
        <v>0.037</v>
      </c>
      <c r="X105" s="153">
        <v>0.04</v>
      </c>
      <c r="Y105" s="128"/>
      <c r="Z105" s="168">
        <f t="shared" si="24"/>
        <v>0.373</v>
      </c>
      <c r="AB105" s="88">
        <f t="shared" si="18"/>
        <v>0</v>
      </c>
      <c r="AD105" s="298"/>
      <c r="AE105" s="298"/>
      <c r="AF105" s="298"/>
      <c r="AG105" s="298">
        <v>0.186</v>
      </c>
      <c r="AH105" s="298"/>
      <c r="AI105" s="298"/>
      <c r="AJ105" s="298">
        <f t="shared" si="25"/>
        <v>0.187</v>
      </c>
      <c r="AK105" s="298"/>
      <c r="AL105" s="298"/>
      <c r="AM105" s="301"/>
      <c r="AN105" s="301">
        <f t="shared" si="26"/>
        <v>0.373</v>
      </c>
      <c r="AP105" s="301"/>
      <c r="AQ105" s="301"/>
      <c r="AR105" s="301"/>
      <c r="AS105" s="301">
        <v>0.187</v>
      </c>
      <c r="AT105" s="301"/>
      <c r="AU105" s="301"/>
      <c r="AV105" s="301"/>
      <c r="AW105" s="301"/>
      <c r="AX105" s="301"/>
      <c r="AY105" s="301"/>
      <c r="AZ105" s="301"/>
      <c r="BA105" s="301"/>
      <c r="BB105" s="301"/>
      <c r="BC105" s="301"/>
      <c r="BD105" s="301"/>
    </row>
    <row r="106" spans="3:56" ht="12.75">
      <c r="C106" s="155" t="s">
        <v>193</v>
      </c>
      <c r="D106" s="203"/>
      <c r="E106" s="149"/>
      <c r="F106" s="150">
        <v>0</v>
      </c>
      <c r="G106" s="150"/>
      <c r="H106" s="123"/>
      <c r="I106" s="151"/>
      <c r="J106" s="152"/>
      <c r="K106" s="153"/>
      <c r="L106" s="200"/>
      <c r="M106" s="153"/>
      <c r="N106" s="153"/>
      <c r="O106" s="153"/>
      <c r="P106" s="153"/>
      <c r="Q106" s="153"/>
      <c r="R106" s="153"/>
      <c r="S106" s="153"/>
      <c r="T106" s="171">
        <f t="shared" si="27"/>
        <v>0</v>
      </c>
      <c r="U106" s="154">
        <v>0</v>
      </c>
      <c r="V106" s="236">
        <f t="shared" si="23"/>
        <v>0</v>
      </c>
      <c r="W106" s="153"/>
      <c r="X106" s="153"/>
      <c r="Y106" s="128"/>
      <c r="Z106" s="168">
        <f t="shared" si="24"/>
        <v>0</v>
      </c>
      <c r="AB106" s="88">
        <f t="shared" si="18"/>
        <v>0</v>
      </c>
      <c r="AD106" s="298"/>
      <c r="AE106" s="298"/>
      <c r="AF106" s="298"/>
      <c r="AG106" s="298"/>
      <c r="AH106" s="298"/>
      <c r="AI106" s="298"/>
      <c r="AJ106" s="298">
        <f t="shared" si="25"/>
        <v>0</v>
      </c>
      <c r="AK106" s="298"/>
      <c r="AL106" s="298"/>
      <c r="AM106" s="301"/>
      <c r="AN106" s="301">
        <f t="shared" si="26"/>
        <v>0</v>
      </c>
      <c r="AP106" s="301"/>
      <c r="AQ106" s="301"/>
      <c r="AR106" s="301"/>
      <c r="AS106" s="301"/>
      <c r="AT106" s="301"/>
      <c r="AU106" s="301"/>
      <c r="AV106" s="301"/>
      <c r="AW106" s="301"/>
      <c r="AX106" s="301"/>
      <c r="AY106" s="301"/>
      <c r="AZ106" s="301"/>
      <c r="BA106" s="301"/>
      <c r="BB106" s="301"/>
      <c r="BC106" s="301"/>
      <c r="BD106" s="301"/>
    </row>
    <row r="107" spans="3:56" ht="12.75">
      <c r="C107" s="87" t="s">
        <v>461</v>
      </c>
      <c r="F107" s="93">
        <v>0.5</v>
      </c>
      <c r="H107" s="123"/>
      <c r="I107" s="151"/>
      <c r="T107" s="171">
        <f t="shared" si="27"/>
        <v>0</v>
      </c>
      <c r="U107" s="172">
        <v>0.087</v>
      </c>
      <c r="V107" s="236">
        <f t="shared" si="23"/>
        <v>-0.087</v>
      </c>
      <c r="X107" s="88">
        <v>0.5</v>
      </c>
      <c r="Z107" s="168">
        <f t="shared" si="24"/>
        <v>0.5</v>
      </c>
      <c r="AB107" s="88">
        <f t="shared" si="18"/>
        <v>0</v>
      </c>
      <c r="AD107" s="298"/>
      <c r="AE107" s="298">
        <v>0.5</v>
      </c>
      <c r="AF107" s="298"/>
      <c r="AG107" s="298"/>
      <c r="AH107" s="298"/>
      <c r="AI107" s="298"/>
      <c r="AJ107" s="298">
        <f t="shared" si="25"/>
        <v>0</v>
      </c>
      <c r="AK107" s="298"/>
      <c r="AL107" s="298"/>
      <c r="AM107" s="301"/>
      <c r="AN107" s="301">
        <f t="shared" si="26"/>
        <v>0.5</v>
      </c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301"/>
      <c r="AZ107" s="301"/>
      <c r="BA107" s="301"/>
      <c r="BB107" s="301"/>
      <c r="BC107" s="301"/>
      <c r="BD107" s="301"/>
    </row>
    <row r="108" spans="3:57" ht="12.75">
      <c r="C108" s="155" t="s">
        <v>410</v>
      </c>
      <c r="D108" s="203"/>
      <c r="E108" s="149"/>
      <c r="F108" s="150">
        <v>0.137</v>
      </c>
      <c r="G108" s="150"/>
      <c r="H108" s="123"/>
      <c r="I108" s="151"/>
      <c r="J108" s="152"/>
      <c r="K108" s="153"/>
      <c r="L108" s="200"/>
      <c r="M108" s="153"/>
      <c r="N108" s="153">
        <v>0.014</v>
      </c>
      <c r="O108" s="153"/>
      <c r="P108" s="153"/>
      <c r="Q108" s="153"/>
      <c r="R108" s="153"/>
      <c r="S108" s="153"/>
      <c r="T108" s="171">
        <f t="shared" si="27"/>
        <v>0.014</v>
      </c>
      <c r="U108" s="154">
        <v>0.03</v>
      </c>
      <c r="V108" s="236">
        <f t="shared" si="23"/>
        <v>-0.016</v>
      </c>
      <c r="W108" s="153"/>
      <c r="X108" s="153">
        <v>0.123</v>
      </c>
      <c r="Y108" s="128"/>
      <c r="Z108" s="168">
        <f t="shared" si="24"/>
        <v>0.137</v>
      </c>
      <c r="AB108" s="88">
        <f t="shared" si="18"/>
        <v>0</v>
      </c>
      <c r="AD108" s="298"/>
      <c r="AE108" s="298"/>
      <c r="AF108" s="298"/>
      <c r="AG108" s="298"/>
      <c r="AH108" s="298"/>
      <c r="AI108" s="298"/>
      <c r="AJ108" s="298">
        <f t="shared" si="25"/>
        <v>0.137</v>
      </c>
      <c r="AK108" s="298"/>
      <c r="AL108" s="298"/>
      <c r="AM108" s="301"/>
      <c r="AN108" s="301">
        <f t="shared" si="26"/>
        <v>0.137</v>
      </c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1"/>
      <c r="AZ108" s="301"/>
      <c r="BA108" s="301"/>
      <c r="BB108" s="301"/>
      <c r="BC108" s="301"/>
      <c r="BD108" s="301">
        <v>0.137</v>
      </c>
      <c r="BE108" s="98" t="s">
        <v>529</v>
      </c>
    </row>
    <row r="109" spans="3:56" ht="12.75">
      <c r="C109" s="155" t="s">
        <v>462</v>
      </c>
      <c r="D109" s="203"/>
      <c r="E109" s="149"/>
      <c r="F109" s="150">
        <v>1.005</v>
      </c>
      <c r="G109" s="150"/>
      <c r="H109" s="123"/>
      <c r="I109" s="151"/>
      <c r="J109" s="152"/>
      <c r="K109" s="153"/>
      <c r="L109" s="200"/>
      <c r="M109" s="153"/>
      <c r="N109" s="153"/>
      <c r="O109" s="153"/>
      <c r="P109" s="153"/>
      <c r="Q109" s="153"/>
      <c r="R109" s="153"/>
      <c r="S109" s="153">
        <v>0.335</v>
      </c>
      <c r="T109" s="171">
        <f t="shared" si="27"/>
        <v>0.335</v>
      </c>
      <c r="U109" s="154"/>
      <c r="V109" s="236">
        <f t="shared" si="23"/>
        <v>0.335</v>
      </c>
      <c r="W109" s="153">
        <v>0.335</v>
      </c>
      <c r="X109" s="153">
        <v>0.335</v>
      </c>
      <c r="Y109" s="128"/>
      <c r="Z109" s="168">
        <f t="shared" si="24"/>
        <v>1.0050000000000001</v>
      </c>
      <c r="AB109" s="88">
        <f t="shared" si="18"/>
        <v>0</v>
      </c>
      <c r="AD109" s="298">
        <v>0.169</v>
      </c>
      <c r="AE109" s="298"/>
      <c r="AF109" s="298"/>
      <c r="AG109" s="298"/>
      <c r="AH109" s="298"/>
      <c r="AI109" s="298"/>
      <c r="AJ109" s="298">
        <f t="shared" si="25"/>
        <v>0.819</v>
      </c>
      <c r="AK109" s="298">
        <v>0.017</v>
      </c>
      <c r="AL109" s="298"/>
      <c r="AM109" s="301"/>
      <c r="AN109" s="301">
        <f t="shared" si="26"/>
        <v>1.005</v>
      </c>
      <c r="AP109" s="301"/>
      <c r="AQ109" s="301">
        <v>0.234</v>
      </c>
      <c r="AR109" s="301"/>
      <c r="AS109" s="301">
        <v>0.083</v>
      </c>
      <c r="AT109" s="301">
        <v>0.212</v>
      </c>
      <c r="AU109" s="301">
        <v>0.29</v>
      </c>
      <c r="AV109" s="301"/>
      <c r="AW109" s="301"/>
      <c r="AX109" s="301"/>
      <c r="AY109" s="301"/>
      <c r="AZ109" s="301"/>
      <c r="BA109" s="301"/>
      <c r="BB109" s="301"/>
      <c r="BC109" s="301"/>
      <c r="BD109" s="301"/>
    </row>
    <row r="110" spans="3:56" ht="12.75">
      <c r="C110" s="155" t="s">
        <v>600</v>
      </c>
      <c r="D110" s="203"/>
      <c r="E110" s="149"/>
      <c r="F110" s="150"/>
      <c r="G110" s="150"/>
      <c r="H110" s="123"/>
      <c r="I110" s="151"/>
      <c r="J110" s="152"/>
      <c r="K110" s="153"/>
      <c r="L110" s="200"/>
      <c r="M110" s="153"/>
      <c r="N110" s="153"/>
      <c r="O110" s="153"/>
      <c r="P110" s="153"/>
      <c r="Q110" s="153"/>
      <c r="R110" s="153"/>
      <c r="S110" s="153"/>
      <c r="T110" s="171"/>
      <c r="U110" s="154"/>
      <c r="V110" s="236">
        <f t="shared" si="23"/>
        <v>0</v>
      </c>
      <c r="W110" s="153"/>
      <c r="X110" s="153"/>
      <c r="Y110" s="128"/>
      <c r="Z110" s="16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301"/>
      <c r="AN110" s="301"/>
      <c r="AP110" s="301"/>
      <c r="AQ110" s="301"/>
      <c r="AR110" s="301"/>
      <c r="AS110" s="301"/>
      <c r="AT110" s="301"/>
      <c r="AU110" s="301"/>
      <c r="AV110" s="301"/>
      <c r="AW110" s="301"/>
      <c r="AX110" s="301"/>
      <c r="AY110" s="301"/>
      <c r="AZ110" s="301"/>
      <c r="BA110" s="301"/>
      <c r="BB110" s="301"/>
      <c r="BC110" s="301"/>
      <c r="BD110" s="301"/>
    </row>
    <row r="111" spans="3:56" ht="12.75">
      <c r="C111" s="155" t="s">
        <v>463</v>
      </c>
      <c r="D111" s="203"/>
      <c r="E111" s="149"/>
      <c r="F111" s="150">
        <v>0.1</v>
      </c>
      <c r="G111" s="150"/>
      <c r="H111" s="123"/>
      <c r="I111" s="151"/>
      <c r="J111" s="152"/>
      <c r="K111" s="153"/>
      <c r="L111" s="200"/>
      <c r="M111" s="153"/>
      <c r="N111" s="153"/>
      <c r="O111" s="153"/>
      <c r="P111" s="153"/>
      <c r="Q111" s="153"/>
      <c r="R111" s="153"/>
      <c r="S111" s="153"/>
      <c r="T111" s="171">
        <f t="shared" si="27"/>
        <v>0</v>
      </c>
      <c r="U111" s="154"/>
      <c r="V111" s="236">
        <f t="shared" si="23"/>
        <v>0</v>
      </c>
      <c r="W111" s="153"/>
      <c r="X111" s="153">
        <v>0.1</v>
      </c>
      <c r="Y111" s="128"/>
      <c r="Z111" s="168">
        <f t="shared" si="24"/>
        <v>0.1</v>
      </c>
      <c r="AB111" s="88">
        <f t="shared" si="18"/>
        <v>0</v>
      </c>
      <c r="AD111" s="298"/>
      <c r="AE111" s="298">
        <v>0.1</v>
      </c>
      <c r="AF111" s="298"/>
      <c r="AG111" s="298"/>
      <c r="AH111" s="298"/>
      <c r="AI111" s="298"/>
      <c r="AJ111" s="298">
        <f t="shared" si="25"/>
        <v>0</v>
      </c>
      <c r="AK111" s="298"/>
      <c r="AL111" s="298"/>
      <c r="AM111" s="301"/>
      <c r="AN111" s="301">
        <f t="shared" si="26"/>
        <v>0.1</v>
      </c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301"/>
      <c r="BC111" s="301"/>
      <c r="BD111" s="301"/>
    </row>
    <row r="112" spans="3:56" ht="12.75">
      <c r="C112" s="155"/>
      <c r="D112" s="203"/>
      <c r="E112" s="149"/>
      <c r="F112" s="150"/>
      <c r="G112" s="150"/>
      <c r="H112" s="123"/>
      <c r="I112" s="151"/>
      <c r="J112" s="152"/>
      <c r="K112" s="153"/>
      <c r="L112" s="200"/>
      <c r="M112" s="153"/>
      <c r="N112" s="153"/>
      <c r="O112" s="153"/>
      <c r="P112" s="153"/>
      <c r="Q112" s="127"/>
      <c r="R112" s="127"/>
      <c r="S112" s="127"/>
      <c r="T112" s="152"/>
      <c r="U112" s="153"/>
      <c r="V112" s="231"/>
      <c r="W112" s="127"/>
      <c r="X112" s="127"/>
      <c r="Y112" s="128"/>
      <c r="Z112" s="168">
        <f t="shared" si="24"/>
        <v>0</v>
      </c>
      <c r="AB112" s="88">
        <f t="shared" si="18"/>
        <v>0</v>
      </c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302"/>
      <c r="AN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</row>
    <row r="113" spans="2:56" s="173" customFormat="1" ht="12.75">
      <c r="B113" s="170"/>
      <c r="C113" s="272" t="s">
        <v>105</v>
      </c>
      <c r="D113" s="255"/>
      <c r="E113" s="164"/>
      <c r="F113" s="165">
        <f>SUM(F85:F112)</f>
        <v>14.228</v>
      </c>
      <c r="G113" s="165"/>
      <c r="H113" s="171"/>
      <c r="I113" s="166"/>
      <c r="J113" s="167">
        <f aca="true" t="shared" si="29" ref="J113:X113">SUM(J85:J112)</f>
        <v>0.887</v>
      </c>
      <c r="K113" s="154">
        <f t="shared" si="29"/>
        <v>0.773</v>
      </c>
      <c r="L113" s="221">
        <f t="shared" si="29"/>
        <v>1.4669999999999999</v>
      </c>
      <c r="M113" s="154">
        <f t="shared" si="29"/>
        <v>1.5579999999999998</v>
      </c>
      <c r="N113" s="131">
        <f t="shared" si="29"/>
        <v>1.2269999999999996</v>
      </c>
      <c r="O113" s="131">
        <f t="shared" si="29"/>
        <v>1</v>
      </c>
      <c r="P113" s="131">
        <f t="shared" si="29"/>
        <v>0.8410000000000001</v>
      </c>
      <c r="Q113" s="131">
        <f t="shared" si="29"/>
        <v>0.801</v>
      </c>
      <c r="R113" s="131">
        <f t="shared" si="29"/>
        <v>0.8230000000000001</v>
      </c>
      <c r="S113" s="131">
        <f t="shared" si="29"/>
        <v>1.246</v>
      </c>
      <c r="T113" s="167">
        <f t="shared" si="29"/>
        <v>10.622999999999998</v>
      </c>
      <c r="U113" s="154">
        <f t="shared" si="29"/>
        <v>7.920000000000001</v>
      </c>
      <c r="V113" s="232">
        <f t="shared" si="29"/>
        <v>2.7029999999999994</v>
      </c>
      <c r="W113" s="131">
        <f t="shared" si="29"/>
        <v>1.1760000000000002</v>
      </c>
      <c r="X113" s="131">
        <f t="shared" si="29"/>
        <v>2.4290000000000003</v>
      </c>
      <c r="Y113" s="172"/>
      <c r="Z113" s="168">
        <f>SUM(Z85:Z112)</f>
        <v>14.228</v>
      </c>
      <c r="AA113" s="170"/>
      <c r="AB113" s="88">
        <f t="shared" si="18"/>
        <v>0</v>
      </c>
      <c r="AC113" s="170"/>
      <c r="AD113" s="170">
        <f>SUM(AD85:AD111)</f>
        <v>0.498</v>
      </c>
      <c r="AE113" s="170">
        <f aca="true" t="shared" si="30" ref="AE113:AM113">SUM(AE85:AE111)</f>
        <v>2.93</v>
      </c>
      <c r="AF113" s="170">
        <f t="shared" si="30"/>
        <v>0</v>
      </c>
      <c r="AG113" s="170">
        <f t="shared" si="30"/>
        <v>2.05</v>
      </c>
      <c r="AH113" s="170">
        <f t="shared" si="30"/>
        <v>0</v>
      </c>
      <c r="AI113" s="170">
        <f t="shared" si="30"/>
        <v>0</v>
      </c>
      <c r="AJ113" s="170">
        <f>SUM(AJ85:AJ111)</f>
        <v>8.544999999999998</v>
      </c>
      <c r="AK113" s="170">
        <f t="shared" si="30"/>
        <v>0.20500000000000002</v>
      </c>
      <c r="AL113" s="170">
        <f t="shared" si="30"/>
        <v>0</v>
      </c>
      <c r="AM113" s="170">
        <f t="shared" si="30"/>
        <v>0</v>
      </c>
      <c r="AN113" s="173">
        <f t="shared" si="26"/>
        <v>14.227999999999998</v>
      </c>
      <c r="AP113" s="173">
        <f>SUM(AP85:AP112)</f>
        <v>0</v>
      </c>
      <c r="AQ113" s="173">
        <f aca="true" t="shared" si="31" ref="AQ113:BD113">SUM(AQ85:AQ112)</f>
        <v>3.7279999999999998</v>
      </c>
      <c r="AR113" s="173">
        <f t="shared" si="31"/>
        <v>0</v>
      </c>
      <c r="AS113" s="173">
        <f t="shared" si="31"/>
        <v>0.446</v>
      </c>
      <c r="AT113" s="173">
        <f t="shared" si="31"/>
        <v>2.2680000000000002</v>
      </c>
      <c r="AU113" s="173">
        <f t="shared" si="31"/>
        <v>0.304</v>
      </c>
      <c r="AV113" s="173">
        <f t="shared" si="31"/>
        <v>0</v>
      </c>
      <c r="AW113" s="173">
        <f t="shared" si="31"/>
        <v>0.002</v>
      </c>
      <c r="AX113" s="173">
        <f t="shared" si="31"/>
        <v>0</v>
      </c>
      <c r="AY113" s="173">
        <f t="shared" si="31"/>
        <v>1.6600000000000001</v>
      </c>
      <c r="AZ113" s="173">
        <f t="shared" si="31"/>
        <v>0</v>
      </c>
      <c r="BA113" s="173">
        <f t="shared" si="31"/>
        <v>0</v>
      </c>
      <c r="BB113" s="173">
        <f t="shared" si="31"/>
        <v>0</v>
      </c>
      <c r="BC113" s="173">
        <f t="shared" si="31"/>
        <v>0</v>
      </c>
      <c r="BD113" s="173">
        <f t="shared" si="31"/>
        <v>0.137</v>
      </c>
    </row>
    <row r="114" spans="3:28" ht="12.75" customHeight="1">
      <c r="C114" s="155"/>
      <c r="D114" s="203"/>
      <c r="E114" s="149"/>
      <c r="F114" s="150"/>
      <c r="G114" s="150"/>
      <c r="H114" s="123"/>
      <c r="I114" s="151"/>
      <c r="J114" s="152"/>
      <c r="K114" s="153"/>
      <c r="L114" s="200"/>
      <c r="M114" s="153"/>
      <c r="N114" s="153"/>
      <c r="O114" s="153"/>
      <c r="P114" s="153"/>
      <c r="Q114" s="127"/>
      <c r="R114" s="127"/>
      <c r="S114" s="127"/>
      <c r="T114" s="152"/>
      <c r="U114" s="153"/>
      <c r="V114" s="231"/>
      <c r="W114" s="127"/>
      <c r="X114" s="127"/>
      <c r="Y114" s="128"/>
      <c r="Z114" s="168"/>
      <c r="AB114" s="88">
        <f t="shared" si="18"/>
        <v>0</v>
      </c>
    </row>
    <row r="115" spans="3:28" ht="12.75">
      <c r="C115" s="163" t="s">
        <v>17</v>
      </c>
      <c r="D115" s="255"/>
      <c r="E115" s="149"/>
      <c r="F115" s="150"/>
      <c r="G115" s="150"/>
      <c r="H115" s="123"/>
      <c r="I115" s="151"/>
      <c r="J115" s="152"/>
      <c r="K115" s="153"/>
      <c r="L115" s="200"/>
      <c r="M115" s="153"/>
      <c r="N115" s="153"/>
      <c r="O115" s="153"/>
      <c r="P115" s="153"/>
      <c r="Q115" s="127"/>
      <c r="R115" s="127"/>
      <c r="S115" s="127"/>
      <c r="T115" s="152"/>
      <c r="U115" s="153"/>
      <c r="V115" s="231"/>
      <c r="W115" s="127"/>
      <c r="X115" s="127"/>
      <c r="Y115" s="128"/>
      <c r="Z115" s="168"/>
      <c r="AB115" s="88">
        <f t="shared" si="18"/>
        <v>0</v>
      </c>
    </row>
    <row r="116" spans="3:28" ht="12.75">
      <c r="C116" s="148" t="s">
        <v>189</v>
      </c>
      <c r="D116" s="252"/>
      <c r="E116" s="149"/>
      <c r="F116" s="150"/>
      <c r="G116" s="150"/>
      <c r="H116" s="123"/>
      <c r="I116" s="151"/>
      <c r="J116" s="152"/>
      <c r="K116" s="153"/>
      <c r="L116" s="200"/>
      <c r="M116" s="153"/>
      <c r="N116" s="153"/>
      <c r="O116" s="153"/>
      <c r="P116" s="153"/>
      <c r="Q116" s="127"/>
      <c r="R116" s="127"/>
      <c r="S116" s="127"/>
      <c r="T116" s="152"/>
      <c r="U116" s="153"/>
      <c r="V116" s="231"/>
      <c r="W116" s="127"/>
      <c r="X116" s="127"/>
      <c r="Y116" s="128"/>
      <c r="Z116" s="168"/>
      <c r="AB116" s="88">
        <f t="shared" si="18"/>
        <v>0</v>
      </c>
    </row>
    <row r="117" spans="3:56" ht="12.75">
      <c r="C117" s="155" t="s">
        <v>227</v>
      </c>
      <c r="D117" s="203" t="s">
        <v>381</v>
      </c>
      <c r="E117" s="149"/>
      <c r="F117" s="150">
        <v>0.003</v>
      </c>
      <c r="G117" s="150"/>
      <c r="H117" s="262">
        <v>33239</v>
      </c>
      <c r="I117" s="263">
        <v>33664</v>
      </c>
      <c r="J117" s="125"/>
      <c r="K117" s="153"/>
      <c r="M117" s="153"/>
      <c r="N117" s="153"/>
      <c r="O117" s="200">
        <v>0.003</v>
      </c>
      <c r="P117" s="153"/>
      <c r="Q117" s="127"/>
      <c r="R117" s="127"/>
      <c r="S117" s="127"/>
      <c r="T117" s="171">
        <f>SUM(J117:S117)</f>
        <v>0.003</v>
      </c>
      <c r="U117" s="154">
        <v>0</v>
      </c>
      <c r="V117" s="236">
        <f>T117-U117</f>
        <v>0.003</v>
      </c>
      <c r="W117" s="127"/>
      <c r="X117" s="127"/>
      <c r="Y117" s="128"/>
      <c r="Z117" s="168">
        <f>T117+SUM(W117:X117)</f>
        <v>0.003</v>
      </c>
      <c r="AB117" s="88">
        <f t="shared" si="18"/>
        <v>0</v>
      </c>
      <c r="AD117" s="297"/>
      <c r="AE117" s="297"/>
      <c r="AF117" s="297"/>
      <c r="AG117" s="297"/>
      <c r="AH117" s="297"/>
      <c r="AI117" s="297"/>
      <c r="AJ117" s="297">
        <f aca="true" t="shared" si="32" ref="AJ117:AJ180">SUM(AP117:BD117)</f>
        <v>0</v>
      </c>
      <c r="AK117" s="297"/>
      <c r="AL117" s="297"/>
      <c r="AM117" s="300"/>
      <c r="AN117" s="300">
        <f aca="true" t="shared" si="33" ref="AN117:AN180">SUM(AD117:AM117)</f>
        <v>0</v>
      </c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</row>
    <row r="118" spans="3:56" ht="12.75">
      <c r="C118" s="155" t="s">
        <v>477</v>
      </c>
      <c r="D118" s="203" t="s">
        <v>382</v>
      </c>
      <c r="E118" s="149"/>
      <c r="F118" s="150">
        <v>4.5</v>
      </c>
      <c r="G118" s="150"/>
      <c r="H118" s="262">
        <v>37987</v>
      </c>
      <c r="I118" s="263">
        <v>38626</v>
      </c>
      <c r="J118" s="152"/>
      <c r="K118" s="153"/>
      <c r="L118" s="200"/>
      <c r="M118" s="153">
        <v>0.13</v>
      </c>
      <c r="N118" s="153">
        <v>0.225</v>
      </c>
      <c r="O118" s="153"/>
      <c r="P118" s="153"/>
      <c r="Q118" s="153"/>
      <c r="R118" s="153"/>
      <c r="S118" s="153">
        <v>1.5</v>
      </c>
      <c r="T118" s="171">
        <f>SUM(J118:S118)</f>
        <v>1.855</v>
      </c>
      <c r="U118" s="154">
        <v>0.808</v>
      </c>
      <c r="V118" s="236">
        <f aca="true" t="shared" si="34" ref="V118:V181">T118-U118</f>
        <v>1.047</v>
      </c>
      <c r="W118" s="153">
        <v>1.5</v>
      </c>
      <c r="X118" s="153">
        <v>1.145</v>
      </c>
      <c r="Y118" s="128"/>
      <c r="Z118" s="168">
        <f>T118+SUM(W118:X118)</f>
        <v>4.5</v>
      </c>
      <c r="AB118" s="88">
        <f t="shared" si="18"/>
        <v>0</v>
      </c>
      <c r="AD118" s="298"/>
      <c r="AE118" s="298">
        <v>4.5</v>
      </c>
      <c r="AF118" s="298"/>
      <c r="AG118" s="298"/>
      <c r="AH118" s="298"/>
      <c r="AI118" s="298"/>
      <c r="AJ118" s="298">
        <f t="shared" si="32"/>
        <v>0</v>
      </c>
      <c r="AK118" s="298"/>
      <c r="AL118" s="298"/>
      <c r="AM118" s="301"/>
      <c r="AN118" s="301">
        <f t="shared" si="33"/>
        <v>4.5</v>
      </c>
      <c r="AP118" s="301"/>
      <c r="AQ118" s="301"/>
      <c r="AR118" s="301"/>
      <c r="AS118" s="301"/>
      <c r="AT118" s="301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301"/>
    </row>
    <row r="119" spans="3:56" ht="12.75">
      <c r="C119" s="155"/>
      <c r="D119" s="203"/>
      <c r="E119" s="149"/>
      <c r="F119" s="150"/>
      <c r="G119" s="150"/>
      <c r="H119" s="123"/>
      <c r="I119" s="151"/>
      <c r="J119" s="152"/>
      <c r="K119" s="153"/>
      <c r="L119" s="200"/>
      <c r="M119" s="153"/>
      <c r="N119" s="153"/>
      <c r="O119" s="153"/>
      <c r="P119" s="153"/>
      <c r="Q119" s="153"/>
      <c r="R119" s="153"/>
      <c r="S119" s="153"/>
      <c r="T119" s="171"/>
      <c r="U119" s="154"/>
      <c r="V119" s="236">
        <f t="shared" si="34"/>
        <v>0</v>
      </c>
      <c r="W119" s="153"/>
      <c r="X119" s="153"/>
      <c r="Y119" s="128"/>
      <c r="Z119" s="168"/>
      <c r="AB119" s="88">
        <f t="shared" si="18"/>
        <v>0</v>
      </c>
      <c r="AD119" s="298"/>
      <c r="AE119" s="298"/>
      <c r="AF119" s="298"/>
      <c r="AG119" s="298"/>
      <c r="AH119" s="298"/>
      <c r="AI119" s="298"/>
      <c r="AJ119" s="298">
        <f t="shared" si="32"/>
        <v>0</v>
      </c>
      <c r="AK119" s="298"/>
      <c r="AL119" s="298"/>
      <c r="AM119" s="301"/>
      <c r="AN119" s="301">
        <f t="shared" si="33"/>
        <v>0</v>
      </c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</row>
    <row r="120" spans="3:56" ht="12.75">
      <c r="C120" s="155" t="s">
        <v>106</v>
      </c>
      <c r="D120" s="203"/>
      <c r="E120" s="149"/>
      <c r="F120" s="150">
        <f>SUM(F121:F140)</f>
        <v>0.5740000000000001</v>
      </c>
      <c r="G120" s="150"/>
      <c r="H120" s="265">
        <v>37226</v>
      </c>
      <c r="I120" s="263">
        <v>38047</v>
      </c>
      <c r="J120" s="152">
        <f aca="true" t="shared" si="35" ref="J120:X120">SUM(J121:J140)</f>
        <v>0.10700000000000001</v>
      </c>
      <c r="K120" s="153">
        <f t="shared" si="35"/>
        <v>0.03</v>
      </c>
      <c r="L120" s="153">
        <f t="shared" si="35"/>
        <v>0.02</v>
      </c>
      <c r="M120" s="153">
        <f t="shared" si="35"/>
        <v>0.015</v>
      </c>
      <c r="N120" s="153">
        <f t="shared" si="35"/>
        <v>0.027999999999999997</v>
      </c>
      <c r="O120" s="150">
        <f>SUM(O121:O140)</f>
        <v>0.018000000000000002</v>
      </c>
      <c r="P120" s="150">
        <f>SUM(P121:P140)</f>
        <v>0.018000000000000002</v>
      </c>
      <c r="Q120" s="150">
        <f>SUM(Q121:Q140)</f>
        <v>0.067</v>
      </c>
      <c r="R120" s="150">
        <f>SUM(R121:R140)</f>
        <v>0.066</v>
      </c>
      <c r="S120" s="150">
        <f>SUM(S121:S140)</f>
        <v>0.066</v>
      </c>
      <c r="T120" s="171">
        <f>SUM(J120:S120)</f>
        <v>0.435</v>
      </c>
      <c r="U120" s="165">
        <f>SUM(U121:U141)</f>
        <v>0.256</v>
      </c>
      <c r="V120" s="236">
        <f t="shared" si="34"/>
        <v>0.179</v>
      </c>
      <c r="W120" s="150">
        <f t="shared" si="35"/>
        <v>0.068</v>
      </c>
      <c r="X120" s="150">
        <f t="shared" si="35"/>
        <v>0.07100000000000001</v>
      </c>
      <c r="Y120" s="128"/>
      <c r="Z120" s="168">
        <f aca="true" t="shared" si="36" ref="Z120:Z153">T120+SUM(W120:X120)</f>
        <v>0.5740000000000001</v>
      </c>
      <c r="AB120" s="88">
        <f t="shared" si="18"/>
        <v>0</v>
      </c>
      <c r="AD120" s="298"/>
      <c r="AE120" s="298"/>
      <c r="AF120" s="298"/>
      <c r="AG120" s="298"/>
      <c r="AH120" s="298"/>
      <c r="AI120" s="298"/>
      <c r="AJ120" s="298">
        <f t="shared" si="32"/>
        <v>0</v>
      </c>
      <c r="AK120" s="298"/>
      <c r="AL120" s="298"/>
      <c r="AM120" s="301"/>
      <c r="AN120" s="301">
        <f t="shared" si="33"/>
        <v>0</v>
      </c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</row>
    <row r="121" spans="1:56" ht="12.75" hidden="1">
      <c r="A121" s="98" t="s">
        <v>422</v>
      </c>
      <c r="C121" s="261" t="s">
        <v>275</v>
      </c>
      <c r="D121" s="203" t="s">
        <v>276</v>
      </c>
      <c r="E121" s="149"/>
      <c r="F121" s="150">
        <v>0.05</v>
      </c>
      <c r="G121" s="150"/>
      <c r="H121" s="262">
        <v>37712</v>
      </c>
      <c r="I121" s="263">
        <v>38047</v>
      </c>
      <c r="J121" s="152"/>
      <c r="K121" s="153"/>
      <c r="L121" s="200"/>
      <c r="M121" s="153"/>
      <c r="N121" s="153"/>
      <c r="O121" s="200">
        <v>0.007</v>
      </c>
      <c r="P121" s="153">
        <v>0.007</v>
      </c>
      <c r="Q121" s="153">
        <v>0.007</v>
      </c>
      <c r="R121" s="153">
        <v>0.007</v>
      </c>
      <c r="S121" s="153">
        <v>0.007</v>
      </c>
      <c r="T121" s="171">
        <f aca="true" t="shared" si="37" ref="T121:T189">SUM(J121:S121)</f>
        <v>0.035</v>
      </c>
      <c r="U121" s="153">
        <v>0</v>
      </c>
      <c r="V121" s="236">
        <f t="shared" si="34"/>
        <v>0.035</v>
      </c>
      <c r="W121" s="153">
        <v>0.007</v>
      </c>
      <c r="X121" s="153">
        <v>0.008</v>
      </c>
      <c r="Y121" s="128"/>
      <c r="Z121" s="168">
        <f t="shared" si="36"/>
        <v>0.05</v>
      </c>
      <c r="AB121" s="88">
        <f t="shared" si="18"/>
        <v>0</v>
      </c>
      <c r="AD121" s="298"/>
      <c r="AE121" s="298"/>
      <c r="AF121" s="298"/>
      <c r="AG121" s="298"/>
      <c r="AH121" s="298"/>
      <c r="AI121" s="298"/>
      <c r="AJ121" s="298">
        <f t="shared" si="32"/>
        <v>0</v>
      </c>
      <c r="AK121" s="298"/>
      <c r="AL121" s="298"/>
      <c r="AM121" s="301"/>
      <c r="AN121" s="301">
        <f t="shared" si="33"/>
        <v>0</v>
      </c>
      <c r="AP121" s="301"/>
      <c r="AQ121" s="301"/>
      <c r="AR121" s="301"/>
      <c r="AS121" s="301"/>
      <c r="AT121" s="301"/>
      <c r="AU121" s="301"/>
      <c r="AV121" s="301"/>
      <c r="AW121" s="301"/>
      <c r="AX121" s="301"/>
      <c r="AY121" s="301"/>
      <c r="AZ121" s="301"/>
      <c r="BA121" s="301"/>
      <c r="BB121" s="301"/>
      <c r="BC121" s="301"/>
      <c r="BD121" s="301"/>
    </row>
    <row r="122" spans="1:56" ht="12.75" hidden="1">
      <c r="A122" s="98" t="s">
        <v>423</v>
      </c>
      <c r="C122" s="261" t="s">
        <v>294</v>
      </c>
      <c r="D122" s="203" t="s">
        <v>277</v>
      </c>
      <c r="E122" s="149"/>
      <c r="F122" s="150">
        <v>0.01</v>
      </c>
      <c r="G122" s="150"/>
      <c r="H122" s="262">
        <v>37712</v>
      </c>
      <c r="I122" s="263">
        <v>38047</v>
      </c>
      <c r="J122" s="152"/>
      <c r="K122" s="153"/>
      <c r="L122" s="200"/>
      <c r="M122" s="153"/>
      <c r="N122" s="153"/>
      <c r="O122" s="200">
        <v>0.002</v>
      </c>
      <c r="P122" s="153">
        <v>0.002</v>
      </c>
      <c r="Q122" s="153">
        <v>0.002</v>
      </c>
      <c r="R122" s="153">
        <v>0.001</v>
      </c>
      <c r="S122" s="153">
        <v>0.001</v>
      </c>
      <c r="T122" s="171">
        <f t="shared" si="37"/>
        <v>0.008</v>
      </c>
      <c r="U122" s="153">
        <v>-0.005</v>
      </c>
      <c r="V122" s="236">
        <f t="shared" si="34"/>
        <v>0.013000000000000001</v>
      </c>
      <c r="W122" s="153">
        <v>0.001</v>
      </c>
      <c r="X122" s="153">
        <v>0.001</v>
      </c>
      <c r="Y122" s="128"/>
      <c r="Z122" s="168">
        <f t="shared" si="36"/>
        <v>0.01</v>
      </c>
      <c r="AB122" s="88">
        <f t="shared" si="18"/>
        <v>0</v>
      </c>
      <c r="AD122" s="298"/>
      <c r="AE122" s="298"/>
      <c r="AF122" s="298"/>
      <c r="AG122" s="298"/>
      <c r="AH122" s="298"/>
      <c r="AI122" s="298"/>
      <c r="AJ122" s="298">
        <f t="shared" si="32"/>
        <v>0</v>
      </c>
      <c r="AK122" s="298"/>
      <c r="AL122" s="298"/>
      <c r="AM122" s="301"/>
      <c r="AN122" s="301">
        <f t="shared" si="33"/>
        <v>0</v>
      </c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01"/>
      <c r="BC122" s="301"/>
      <c r="BD122" s="301"/>
    </row>
    <row r="123" spans="1:56" ht="12.75" hidden="1">
      <c r="A123" s="98" t="s">
        <v>424</v>
      </c>
      <c r="C123" s="261" t="s">
        <v>295</v>
      </c>
      <c r="D123" s="203" t="s">
        <v>278</v>
      </c>
      <c r="E123" s="149"/>
      <c r="F123" s="150">
        <v>0.008</v>
      </c>
      <c r="G123" s="150"/>
      <c r="H123" s="262">
        <v>37712</v>
      </c>
      <c r="I123" s="263">
        <v>38047</v>
      </c>
      <c r="J123" s="152"/>
      <c r="K123" s="153"/>
      <c r="L123" s="200"/>
      <c r="M123" s="153"/>
      <c r="N123" s="153"/>
      <c r="O123" s="200">
        <v>0.001</v>
      </c>
      <c r="P123" s="153">
        <v>0.001</v>
      </c>
      <c r="Q123" s="153">
        <v>0.001</v>
      </c>
      <c r="R123" s="153">
        <v>0.001</v>
      </c>
      <c r="S123" s="153">
        <v>0.001</v>
      </c>
      <c r="T123" s="171">
        <f t="shared" si="37"/>
        <v>0.005</v>
      </c>
      <c r="U123" s="153">
        <v>0</v>
      </c>
      <c r="V123" s="236">
        <f t="shared" si="34"/>
        <v>0.005</v>
      </c>
      <c r="W123" s="153">
        <v>0.001</v>
      </c>
      <c r="X123" s="153">
        <v>0.002</v>
      </c>
      <c r="Y123" s="128"/>
      <c r="Z123" s="168">
        <f t="shared" si="36"/>
        <v>0.008</v>
      </c>
      <c r="AB123" s="88">
        <f t="shared" si="18"/>
        <v>0</v>
      </c>
      <c r="AD123" s="298"/>
      <c r="AE123" s="298"/>
      <c r="AF123" s="298"/>
      <c r="AG123" s="298"/>
      <c r="AH123" s="298"/>
      <c r="AI123" s="298"/>
      <c r="AJ123" s="298">
        <f t="shared" si="32"/>
        <v>0</v>
      </c>
      <c r="AK123" s="298"/>
      <c r="AL123" s="298"/>
      <c r="AM123" s="301"/>
      <c r="AN123" s="301">
        <f t="shared" si="33"/>
        <v>0</v>
      </c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</row>
    <row r="124" spans="1:56" ht="12.75" hidden="1">
      <c r="A124" s="98" t="s">
        <v>425</v>
      </c>
      <c r="C124" s="261" t="s">
        <v>296</v>
      </c>
      <c r="D124" s="203" t="s">
        <v>279</v>
      </c>
      <c r="E124" s="149"/>
      <c r="F124" s="150">
        <v>0.073</v>
      </c>
      <c r="G124" s="150"/>
      <c r="H124" s="262">
        <v>37316</v>
      </c>
      <c r="I124" s="263">
        <v>37803</v>
      </c>
      <c r="J124" s="152">
        <v>0.015</v>
      </c>
      <c r="K124" s="153">
        <v>0.015</v>
      </c>
      <c r="L124" s="153">
        <v>0.015</v>
      </c>
      <c r="M124" s="153">
        <v>0.015</v>
      </c>
      <c r="N124" s="153">
        <v>0.012</v>
      </c>
      <c r="O124" s="200"/>
      <c r="P124" s="153"/>
      <c r="Q124" s="153"/>
      <c r="R124" s="153"/>
      <c r="S124" s="153"/>
      <c r="T124" s="171">
        <f t="shared" si="37"/>
        <v>0.072</v>
      </c>
      <c r="U124" s="153">
        <v>0.06</v>
      </c>
      <c r="V124" s="236">
        <f t="shared" si="34"/>
        <v>0.011999999999999997</v>
      </c>
      <c r="W124" s="153">
        <v>0.001</v>
      </c>
      <c r="X124" s="153"/>
      <c r="Y124" s="128"/>
      <c r="Z124" s="168">
        <f t="shared" si="36"/>
        <v>0.073</v>
      </c>
      <c r="AB124" s="88">
        <f t="shared" si="18"/>
        <v>0</v>
      </c>
      <c r="AD124" s="298"/>
      <c r="AE124" s="298"/>
      <c r="AF124" s="298"/>
      <c r="AG124" s="298"/>
      <c r="AH124" s="298"/>
      <c r="AI124" s="298"/>
      <c r="AJ124" s="298">
        <f t="shared" si="32"/>
        <v>0</v>
      </c>
      <c r="AK124" s="298"/>
      <c r="AL124" s="298"/>
      <c r="AM124" s="301"/>
      <c r="AN124" s="301">
        <f t="shared" si="33"/>
        <v>0</v>
      </c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</row>
    <row r="125" spans="1:56" ht="12.75" hidden="1">
      <c r="A125" s="98" t="s">
        <v>426</v>
      </c>
      <c r="C125" s="261" t="s">
        <v>297</v>
      </c>
      <c r="D125" s="203" t="s">
        <v>280</v>
      </c>
      <c r="E125" s="149"/>
      <c r="F125" s="150">
        <v>0</v>
      </c>
      <c r="G125" s="150"/>
      <c r="H125" s="262">
        <v>37926</v>
      </c>
      <c r="I125" s="263">
        <v>38047</v>
      </c>
      <c r="J125" s="152"/>
      <c r="K125" s="153"/>
      <c r="L125" s="200"/>
      <c r="M125" s="153"/>
      <c r="N125" s="153"/>
      <c r="O125" s="200"/>
      <c r="P125" s="153"/>
      <c r="Q125" s="153"/>
      <c r="R125" s="153"/>
      <c r="S125" s="153"/>
      <c r="T125" s="171">
        <f t="shared" si="37"/>
        <v>0</v>
      </c>
      <c r="U125" s="153">
        <v>0</v>
      </c>
      <c r="V125" s="236">
        <f t="shared" si="34"/>
        <v>0</v>
      </c>
      <c r="W125" s="153"/>
      <c r="X125" s="153"/>
      <c r="Y125" s="128"/>
      <c r="Z125" s="168">
        <f t="shared" si="36"/>
        <v>0</v>
      </c>
      <c r="AB125" s="88">
        <f t="shared" si="18"/>
        <v>0</v>
      </c>
      <c r="AD125" s="298"/>
      <c r="AE125" s="298"/>
      <c r="AF125" s="298"/>
      <c r="AG125" s="298"/>
      <c r="AH125" s="298"/>
      <c r="AI125" s="298"/>
      <c r="AJ125" s="298">
        <f t="shared" si="32"/>
        <v>0</v>
      </c>
      <c r="AK125" s="298"/>
      <c r="AL125" s="298"/>
      <c r="AM125" s="301"/>
      <c r="AN125" s="301">
        <f t="shared" si="33"/>
        <v>0</v>
      </c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1"/>
    </row>
    <row r="126" spans="1:56" ht="12.75" hidden="1">
      <c r="A126" s="98" t="s">
        <v>427</v>
      </c>
      <c r="C126" s="261" t="s">
        <v>298</v>
      </c>
      <c r="D126" s="203" t="s">
        <v>281</v>
      </c>
      <c r="E126" s="149"/>
      <c r="F126" s="150">
        <v>0.05</v>
      </c>
      <c r="G126" s="150"/>
      <c r="H126" s="265">
        <v>37226</v>
      </c>
      <c r="I126" s="264">
        <v>37712</v>
      </c>
      <c r="J126" s="152">
        <v>0.05</v>
      </c>
      <c r="K126" s="153"/>
      <c r="L126" s="200"/>
      <c r="M126" s="153"/>
      <c r="N126" s="153"/>
      <c r="O126" s="200"/>
      <c r="P126" s="153"/>
      <c r="Q126" s="98"/>
      <c r="R126" s="98"/>
      <c r="S126" s="98"/>
      <c r="T126" s="171">
        <f t="shared" si="37"/>
        <v>0.05</v>
      </c>
      <c r="U126" s="153">
        <v>0.043</v>
      </c>
      <c r="V126" s="236">
        <f t="shared" si="34"/>
        <v>0.007000000000000006</v>
      </c>
      <c r="W126" s="98"/>
      <c r="X126" s="267"/>
      <c r="Y126" s="128"/>
      <c r="Z126" s="168">
        <f t="shared" si="36"/>
        <v>0.05</v>
      </c>
      <c r="AB126" s="88">
        <f t="shared" si="18"/>
        <v>0</v>
      </c>
      <c r="AD126" s="298"/>
      <c r="AE126" s="298"/>
      <c r="AF126" s="298"/>
      <c r="AG126" s="298"/>
      <c r="AH126" s="298"/>
      <c r="AI126" s="298"/>
      <c r="AJ126" s="298">
        <f t="shared" si="32"/>
        <v>0</v>
      </c>
      <c r="AK126" s="298"/>
      <c r="AL126" s="298"/>
      <c r="AM126" s="301"/>
      <c r="AN126" s="301">
        <f t="shared" si="33"/>
        <v>0</v>
      </c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</row>
    <row r="127" spans="1:56" ht="12.75" hidden="1">
      <c r="A127" s="98" t="s">
        <v>428</v>
      </c>
      <c r="C127" s="261" t="s">
        <v>299</v>
      </c>
      <c r="D127" s="203" t="s">
        <v>282</v>
      </c>
      <c r="E127" s="149"/>
      <c r="F127" s="150">
        <v>0.005</v>
      </c>
      <c r="G127" s="150"/>
      <c r="H127" s="262">
        <v>37591</v>
      </c>
      <c r="I127" s="263">
        <v>37681</v>
      </c>
      <c r="J127" s="152">
        <v>0.005</v>
      </c>
      <c r="K127" s="153"/>
      <c r="L127" s="200"/>
      <c r="M127" s="153"/>
      <c r="N127" s="153"/>
      <c r="O127" s="200"/>
      <c r="P127" s="153"/>
      <c r="Q127" s="153"/>
      <c r="R127" s="153"/>
      <c r="S127" s="153"/>
      <c r="T127" s="171">
        <f t="shared" si="37"/>
        <v>0.005</v>
      </c>
      <c r="U127" s="153">
        <v>0.008</v>
      </c>
      <c r="V127" s="236">
        <f t="shared" si="34"/>
        <v>-0.003</v>
      </c>
      <c r="W127" s="153"/>
      <c r="X127" s="153"/>
      <c r="Y127" s="128"/>
      <c r="Z127" s="168">
        <f t="shared" si="36"/>
        <v>0.005</v>
      </c>
      <c r="AB127" s="88">
        <f t="shared" si="18"/>
        <v>0</v>
      </c>
      <c r="AD127" s="298"/>
      <c r="AE127" s="298"/>
      <c r="AF127" s="298"/>
      <c r="AG127" s="298"/>
      <c r="AH127" s="298"/>
      <c r="AI127" s="298"/>
      <c r="AJ127" s="298">
        <f t="shared" si="32"/>
        <v>0</v>
      </c>
      <c r="AK127" s="298"/>
      <c r="AL127" s="298"/>
      <c r="AM127" s="301"/>
      <c r="AN127" s="301">
        <f t="shared" si="33"/>
        <v>0</v>
      </c>
      <c r="AP127" s="301"/>
      <c r="AQ127" s="301"/>
      <c r="AR127" s="301"/>
      <c r="AS127" s="301"/>
      <c r="AT127" s="301"/>
      <c r="AU127" s="301"/>
      <c r="AV127" s="301"/>
      <c r="AW127" s="301"/>
      <c r="AX127" s="301"/>
      <c r="AY127" s="301"/>
      <c r="AZ127" s="301"/>
      <c r="BA127" s="301"/>
      <c r="BB127" s="301"/>
      <c r="BC127" s="301"/>
      <c r="BD127" s="301"/>
    </row>
    <row r="128" spans="1:56" ht="12.75" hidden="1">
      <c r="A128" s="98" t="s">
        <v>429</v>
      </c>
      <c r="C128" s="261" t="s">
        <v>300</v>
      </c>
      <c r="D128" s="203" t="s">
        <v>283</v>
      </c>
      <c r="E128" s="149"/>
      <c r="F128" s="150">
        <v>0.003</v>
      </c>
      <c r="G128" s="150"/>
      <c r="H128" s="262">
        <v>37987</v>
      </c>
      <c r="I128" s="263">
        <v>38047</v>
      </c>
      <c r="J128" s="152"/>
      <c r="K128" s="153"/>
      <c r="L128" s="200"/>
      <c r="M128" s="153"/>
      <c r="N128" s="153"/>
      <c r="O128" s="200"/>
      <c r="P128" s="153"/>
      <c r="Q128" s="153"/>
      <c r="R128" s="153"/>
      <c r="S128" s="153"/>
      <c r="T128" s="171">
        <f t="shared" si="37"/>
        <v>0</v>
      </c>
      <c r="U128" s="154">
        <v>0.001</v>
      </c>
      <c r="V128" s="236">
        <f t="shared" si="34"/>
        <v>-0.001</v>
      </c>
      <c r="W128" s="153">
        <v>0.001</v>
      </c>
      <c r="X128" s="153">
        <v>0.002</v>
      </c>
      <c r="Y128" s="128"/>
      <c r="Z128" s="168">
        <f t="shared" si="36"/>
        <v>0.003</v>
      </c>
      <c r="AB128" s="88">
        <f t="shared" si="18"/>
        <v>0</v>
      </c>
      <c r="AD128" s="298"/>
      <c r="AE128" s="298"/>
      <c r="AF128" s="298"/>
      <c r="AG128" s="298"/>
      <c r="AH128" s="298"/>
      <c r="AI128" s="298"/>
      <c r="AJ128" s="298">
        <f t="shared" si="32"/>
        <v>0</v>
      </c>
      <c r="AK128" s="298"/>
      <c r="AL128" s="298"/>
      <c r="AM128" s="301"/>
      <c r="AN128" s="301">
        <f t="shared" si="33"/>
        <v>0</v>
      </c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</row>
    <row r="129" spans="1:56" ht="12.75" hidden="1">
      <c r="A129" s="98" t="s">
        <v>430</v>
      </c>
      <c r="C129" s="261" t="s">
        <v>301</v>
      </c>
      <c r="D129" s="203" t="s">
        <v>284</v>
      </c>
      <c r="E129" s="149"/>
      <c r="F129" s="150">
        <v>0.001</v>
      </c>
      <c r="G129" s="150"/>
      <c r="H129" s="262">
        <v>37288</v>
      </c>
      <c r="I129" s="263">
        <v>37347</v>
      </c>
      <c r="J129" s="152">
        <v>0.001</v>
      </c>
      <c r="K129" s="153"/>
      <c r="L129" s="200"/>
      <c r="M129" s="153"/>
      <c r="N129" s="153"/>
      <c r="O129" s="200"/>
      <c r="P129" s="153"/>
      <c r="Q129" s="153"/>
      <c r="R129" s="153"/>
      <c r="S129" s="153"/>
      <c r="T129" s="171">
        <f t="shared" si="37"/>
        <v>0.001</v>
      </c>
      <c r="U129" s="153">
        <v>0</v>
      </c>
      <c r="V129" s="236">
        <f t="shared" si="34"/>
        <v>0.001</v>
      </c>
      <c r="W129" s="153"/>
      <c r="X129" s="153"/>
      <c r="Y129" s="128"/>
      <c r="Z129" s="168">
        <f t="shared" si="36"/>
        <v>0.001</v>
      </c>
      <c r="AB129" s="88">
        <f t="shared" si="18"/>
        <v>0</v>
      </c>
      <c r="AD129" s="298"/>
      <c r="AE129" s="298"/>
      <c r="AF129" s="298"/>
      <c r="AG129" s="298"/>
      <c r="AH129" s="298"/>
      <c r="AI129" s="298"/>
      <c r="AJ129" s="298">
        <f t="shared" si="32"/>
        <v>0</v>
      </c>
      <c r="AK129" s="298"/>
      <c r="AL129" s="298"/>
      <c r="AM129" s="301"/>
      <c r="AN129" s="301">
        <f t="shared" si="33"/>
        <v>0</v>
      </c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</row>
    <row r="130" spans="3:56" ht="12.75" hidden="1">
      <c r="C130" s="261" t="s">
        <v>478</v>
      </c>
      <c r="D130" s="203"/>
      <c r="E130" s="149"/>
      <c r="F130" s="150">
        <v>0.001</v>
      </c>
      <c r="G130" s="150"/>
      <c r="H130" s="262">
        <v>37987</v>
      </c>
      <c r="I130" s="263">
        <v>38047</v>
      </c>
      <c r="J130" s="152"/>
      <c r="K130" s="153"/>
      <c r="L130" s="200"/>
      <c r="M130" s="153"/>
      <c r="N130" s="153"/>
      <c r="O130" s="200"/>
      <c r="P130" s="153"/>
      <c r="Q130" s="153"/>
      <c r="R130" s="153"/>
      <c r="S130" s="153"/>
      <c r="T130" s="171">
        <f t="shared" si="37"/>
        <v>0</v>
      </c>
      <c r="U130" s="153">
        <v>0.003</v>
      </c>
      <c r="V130" s="236">
        <f t="shared" si="34"/>
        <v>-0.003</v>
      </c>
      <c r="W130" s="153"/>
      <c r="X130" s="153">
        <v>0.001</v>
      </c>
      <c r="Y130" s="128"/>
      <c r="Z130" s="168">
        <f t="shared" si="36"/>
        <v>0.001</v>
      </c>
      <c r="AB130" s="88">
        <f t="shared" si="18"/>
        <v>0</v>
      </c>
      <c r="AD130" s="298"/>
      <c r="AE130" s="298"/>
      <c r="AF130" s="298"/>
      <c r="AG130" s="298"/>
      <c r="AH130" s="298"/>
      <c r="AI130" s="298"/>
      <c r="AJ130" s="298">
        <f t="shared" si="32"/>
        <v>0</v>
      </c>
      <c r="AK130" s="298"/>
      <c r="AL130" s="298"/>
      <c r="AM130" s="301"/>
      <c r="AN130" s="301">
        <f t="shared" si="33"/>
        <v>0</v>
      </c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/>
    </row>
    <row r="131" spans="1:56" ht="12.75" hidden="1">
      <c r="A131" s="98" t="s">
        <v>431</v>
      </c>
      <c r="C131" s="261" t="s">
        <v>302</v>
      </c>
      <c r="D131" s="203" t="s">
        <v>285</v>
      </c>
      <c r="E131" s="149"/>
      <c r="F131" s="150">
        <v>0.245</v>
      </c>
      <c r="G131" s="150"/>
      <c r="H131" s="262">
        <v>37895</v>
      </c>
      <c r="I131" s="263">
        <v>38047</v>
      </c>
      <c r="J131" s="152"/>
      <c r="K131" s="153"/>
      <c r="L131" s="200"/>
      <c r="M131" s="153"/>
      <c r="N131" s="153">
        <v>0.01</v>
      </c>
      <c r="O131" s="200"/>
      <c r="P131" s="153"/>
      <c r="Q131" s="153">
        <v>0.049</v>
      </c>
      <c r="R131" s="153">
        <v>0.049</v>
      </c>
      <c r="S131" s="153">
        <v>0.049</v>
      </c>
      <c r="T131" s="171">
        <f t="shared" si="37"/>
        <v>0.15700000000000003</v>
      </c>
      <c r="U131" s="153">
        <v>0.035</v>
      </c>
      <c r="V131" s="236">
        <f t="shared" si="34"/>
        <v>0.12200000000000003</v>
      </c>
      <c r="W131" s="153">
        <v>0.049</v>
      </c>
      <c r="X131" s="153">
        <v>0.039</v>
      </c>
      <c r="Y131" s="128"/>
      <c r="Z131" s="168">
        <f t="shared" si="36"/>
        <v>0.24500000000000002</v>
      </c>
      <c r="AB131" s="88">
        <f t="shared" si="18"/>
        <v>0</v>
      </c>
      <c r="AD131" s="298"/>
      <c r="AE131" s="298"/>
      <c r="AF131" s="298"/>
      <c r="AG131" s="298"/>
      <c r="AH131" s="298"/>
      <c r="AI131" s="298"/>
      <c r="AJ131" s="298">
        <f t="shared" si="32"/>
        <v>0</v>
      </c>
      <c r="AK131" s="298"/>
      <c r="AL131" s="298"/>
      <c r="AM131" s="301"/>
      <c r="AN131" s="301">
        <f t="shared" si="33"/>
        <v>0</v>
      </c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/>
    </row>
    <row r="132" spans="1:56" ht="12.75" hidden="1">
      <c r="A132" s="98" t="s">
        <v>433</v>
      </c>
      <c r="C132" s="261" t="s">
        <v>303</v>
      </c>
      <c r="D132" s="203" t="s">
        <v>286</v>
      </c>
      <c r="E132" s="149"/>
      <c r="F132" s="150">
        <v>0</v>
      </c>
      <c r="G132" s="150"/>
      <c r="H132" s="262">
        <v>37987</v>
      </c>
      <c r="I132" s="263">
        <v>38047</v>
      </c>
      <c r="J132" s="152"/>
      <c r="K132" s="153"/>
      <c r="L132" s="200"/>
      <c r="M132" s="153"/>
      <c r="N132" s="153"/>
      <c r="O132" s="200"/>
      <c r="P132" s="153"/>
      <c r="Q132" s="153"/>
      <c r="R132" s="153"/>
      <c r="S132" s="153"/>
      <c r="T132" s="171">
        <f t="shared" si="37"/>
        <v>0</v>
      </c>
      <c r="U132" s="154"/>
      <c r="V132" s="236">
        <f t="shared" si="34"/>
        <v>0</v>
      </c>
      <c r="W132" s="153"/>
      <c r="X132" s="153"/>
      <c r="Y132" s="128"/>
      <c r="Z132" s="168">
        <f t="shared" si="36"/>
        <v>0</v>
      </c>
      <c r="AB132" s="88">
        <f t="shared" si="18"/>
        <v>0</v>
      </c>
      <c r="AD132" s="298"/>
      <c r="AE132" s="298"/>
      <c r="AF132" s="298"/>
      <c r="AG132" s="298"/>
      <c r="AH132" s="298"/>
      <c r="AI132" s="298"/>
      <c r="AJ132" s="298">
        <f t="shared" si="32"/>
        <v>0</v>
      </c>
      <c r="AK132" s="298"/>
      <c r="AL132" s="298"/>
      <c r="AM132" s="301"/>
      <c r="AN132" s="301">
        <f t="shared" si="33"/>
        <v>0</v>
      </c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</row>
    <row r="133" spans="1:56" ht="12.75" hidden="1">
      <c r="A133" s="98" t="s">
        <v>432</v>
      </c>
      <c r="C133" s="261" t="s">
        <v>304</v>
      </c>
      <c r="D133" s="203" t="s">
        <v>287</v>
      </c>
      <c r="E133" s="149"/>
      <c r="F133" s="150">
        <v>0.001</v>
      </c>
      <c r="G133" s="150"/>
      <c r="H133" s="262">
        <v>37622</v>
      </c>
      <c r="I133" s="263">
        <v>37681</v>
      </c>
      <c r="J133" s="152">
        <v>0.001</v>
      </c>
      <c r="K133" s="153"/>
      <c r="L133" s="200"/>
      <c r="M133" s="153"/>
      <c r="N133" s="153"/>
      <c r="O133" s="200"/>
      <c r="P133" s="153"/>
      <c r="Q133" s="153"/>
      <c r="R133" s="153"/>
      <c r="S133" s="153"/>
      <c r="T133" s="171">
        <f t="shared" si="37"/>
        <v>0.001</v>
      </c>
      <c r="U133" s="153">
        <v>0</v>
      </c>
      <c r="V133" s="236">
        <f t="shared" si="34"/>
        <v>0.001</v>
      </c>
      <c r="W133" s="153"/>
      <c r="X133" s="153"/>
      <c r="Y133" s="128"/>
      <c r="Z133" s="168">
        <f t="shared" si="36"/>
        <v>0.001</v>
      </c>
      <c r="AB133" s="88">
        <f t="shared" si="18"/>
        <v>0</v>
      </c>
      <c r="AD133" s="298"/>
      <c r="AE133" s="298"/>
      <c r="AF133" s="298"/>
      <c r="AG133" s="298"/>
      <c r="AH133" s="298"/>
      <c r="AI133" s="298"/>
      <c r="AJ133" s="298">
        <f t="shared" si="32"/>
        <v>0</v>
      </c>
      <c r="AK133" s="298"/>
      <c r="AL133" s="298"/>
      <c r="AM133" s="301"/>
      <c r="AN133" s="301">
        <f t="shared" si="33"/>
        <v>0</v>
      </c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</row>
    <row r="134" spans="1:56" ht="12.75" hidden="1">
      <c r="A134" s="98" t="s">
        <v>434</v>
      </c>
      <c r="C134" s="261" t="s">
        <v>305</v>
      </c>
      <c r="D134" s="203" t="s">
        <v>288</v>
      </c>
      <c r="E134" s="149"/>
      <c r="F134" s="150">
        <v>0</v>
      </c>
      <c r="G134" s="150"/>
      <c r="H134" s="262">
        <v>37987</v>
      </c>
      <c r="I134" s="263">
        <v>38047</v>
      </c>
      <c r="J134" s="152"/>
      <c r="K134" s="153"/>
      <c r="L134" s="200"/>
      <c r="M134" s="153"/>
      <c r="N134" s="153"/>
      <c r="O134" s="200"/>
      <c r="P134" s="153"/>
      <c r="Q134" s="153"/>
      <c r="R134" s="153"/>
      <c r="S134" s="153"/>
      <c r="T134" s="171">
        <f t="shared" si="37"/>
        <v>0</v>
      </c>
      <c r="U134" s="153">
        <v>0</v>
      </c>
      <c r="V134" s="236">
        <f t="shared" si="34"/>
        <v>0</v>
      </c>
      <c r="W134" s="153"/>
      <c r="X134" s="153"/>
      <c r="Y134" s="128"/>
      <c r="Z134" s="168">
        <f t="shared" si="36"/>
        <v>0</v>
      </c>
      <c r="AB134" s="88">
        <f t="shared" si="18"/>
        <v>0</v>
      </c>
      <c r="AD134" s="298"/>
      <c r="AE134" s="298"/>
      <c r="AF134" s="298"/>
      <c r="AG134" s="298"/>
      <c r="AH134" s="298"/>
      <c r="AI134" s="298"/>
      <c r="AJ134" s="298">
        <f t="shared" si="32"/>
        <v>0</v>
      </c>
      <c r="AK134" s="298"/>
      <c r="AL134" s="298"/>
      <c r="AM134" s="301"/>
      <c r="AN134" s="301">
        <f t="shared" si="33"/>
        <v>0</v>
      </c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</row>
    <row r="135" spans="1:56" ht="12.75" hidden="1">
      <c r="A135" s="98" t="s">
        <v>435</v>
      </c>
      <c r="C135" s="261" t="s">
        <v>306</v>
      </c>
      <c r="D135" s="203" t="s">
        <v>289</v>
      </c>
      <c r="E135" s="149"/>
      <c r="F135" s="150">
        <v>0.01</v>
      </c>
      <c r="G135" s="150"/>
      <c r="H135" s="262">
        <v>37316</v>
      </c>
      <c r="I135" s="263">
        <v>37681</v>
      </c>
      <c r="J135" s="152">
        <v>0.01</v>
      </c>
      <c r="K135" s="153"/>
      <c r="L135" s="200"/>
      <c r="M135" s="153"/>
      <c r="N135" s="153"/>
      <c r="O135" s="200"/>
      <c r="P135" s="153"/>
      <c r="Q135" s="153"/>
      <c r="R135" s="153"/>
      <c r="S135" s="153"/>
      <c r="T135" s="171">
        <f t="shared" si="37"/>
        <v>0.01</v>
      </c>
      <c r="U135" s="153">
        <v>0</v>
      </c>
      <c r="V135" s="236">
        <f t="shared" si="34"/>
        <v>0.01</v>
      </c>
      <c r="W135" s="153"/>
      <c r="X135" s="153"/>
      <c r="Y135" s="128"/>
      <c r="Z135" s="168">
        <f t="shared" si="36"/>
        <v>0.01</v>
      </c>
      <c r="AB135" s="88">
        <f t="shared" si="18"/>
        <v>0</v>
      </c>
      <c r="AD135" s="298"/>
      <c r="AE135" s="298"/>
      <c r="AF135" s="298"/>
      <c r="AG135" s="298"/>
      <c r="AH135" s="298"/>
      <c r="AI135" s="298"/>
      <c r="AJ135" s="298">
        <f t="shared" si="32"/>
        <v>0</v>
      </c>
      <c r="AK135" s="298"/>
      <c r="AL135" s="298"/>
      <c r="AM135" s="301"/>
      <c r="AN135" s="301">
        <f t="shared" si="33"/>
        <v>0</v>
      </c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</row>
    <row r="136" spans="1:56" ht="12.75" hidden="1">
      <c r="A136" s="98" t="s">
        <v>436</v>
      </c>
      <c r="C136" s="261" t="s">
        <v>307</v>
      </c>
      <c r="D136" s="203" t="s">
        <v>290</v>
      </c>
      <c r="E136" s="149"/>
      <c r="F136" s="150">
        <v>0.002</v>
      </c>
      <c r="G136" s="150"/>
      <c r="H136" s="262">
        <v>38018</v>
      </c>
      <c r="I136" s="263">
        <v>38412</v>
      </c>
      <c r="J136" s="152"/>
      <c r="K136" s="153"/>
      <c r="L136" s="200"/>
      <c r="M136" s="153"/>
      <c r="N136" s="153"/>
      <c r="O136" s="200"/>
      <c r="P136" s="153"/>
      <c r="Q136" s="153"/>
      <c r="R136" s="153"/>
      <c r="S136" s="153"/>
      <c r="T136" s="171">
        <f t="shared" si="37"/>
        <v>0</v>
      </c>
      <c r="U136" s="153">
        <v>0.001</v>
      </c>
      <c r="V136" s="236">
        <f t="shared" si="34"/>
        <v>-0.001</v>
      </c>
      <c r="W136" s="153"/>
      <c r="X136" s="153">
        <v>0.002</v>
      </c>
      <c r="Y136" s="128"/>
      <c r="Z136" s="168">
        <f t="shared" si="36"/>
        <v>0.002</v>
      </c>
      <c r="AB136" s="88">
        <f t="shared" si="18"/>
        <v>0</v>
      </c>
      <c r="AD136" s="298"/>
      <c r="AE136" s="298"/>
      <c r="AF136" s="298"/>
      <c r="AG136" s="298"/>
      <c r="AH136" s="298"/>
      <c r="AI136" s="298"/>
      <c r="AJ136" s="298">
        <f t="shared" si="32"/>
        <v>0</v>
      </c>
      <c r="AK136" s="298"/>
      <c r="AL136" s="298"/>
      <c r="AM136" s="301"/>
      <c r="AN136" s="301">
        <f t="shared" si="33"/>
        <v>0</v>
      </c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01"/>
      <c r="AZ136" s="301"/>
      <c r="BA136" s="301"/>
      <c r="BB136" s="301"/>
      <c r="BC136" s="301"/>
      <c r="BD136" s="301"/>
    </row>
    <row r="137" spans="1:56" ht="12.75" hidden="1">
      <c r="A137" s="98" t="s">
        <v>437</v>
      </c>
      <c r="C137" s="261" t="s">
        <v>421</v>
      </c>
      <c r="D137" s="203"/>
      <c r="E137" s="149"/>
      <c r="F137" s="150">
        <v>0.004</v>
      </c>
      <c r="G137" s="150"/>
      <c r="H137" s="262">
        <v>38139</v>
      </c>
      <c r="I137" s="263">
        <v>38231</v>
      </c>
      <c r="J137" s="152"/>
      <c r="K137" s="153"/>
      <c r="L137" s="200"/>
      <c r="M137" s="153"/>
      <c r="N137" s="153"/>
      <c r="O137" s="200"/>
      <c r="P137" s="153"/>
      <c r="Q137" s="153"/>
      <c r="R137" s="153"/>
      <c r="S137" s="153"/>
      <c r="T137" s="171">
        <f t="shared" si="37"/>
        <v>0</v>
      </c>
      <c r="U137" s="153">
        <v>0.002</v>
      </c>
      <c r="V137" s="236">
        <f t="shared" si="34"/>
        <v>-0.002</v>
      </c>
      <c r="W137" s="153"/>
      <c r="X137" s="153">
        <v>0.004</v>
      </c>
      <c r="Y137" s="128"/>
      <c r="Z137" s="168">
        <f t="shared" si="36"/>
        <v>0.004</v>
      </c>
      <c r="AB137" s="88">
        <f t="shared" si="18"/>
        <v>0</v>
      </c>
      <c r="AD137" s="298"/>
      <c r="AE137" s="298"/>
      <c r="AF137" s="298"/>
      <c r="AG137" s="298"/>
      <c r="AH137" s="298"/>
      <c r="AI137" s="298"/>
      <c r="AJ137" s="298">
        <f t="shared" si="32"/>
        <v>0</v>
      </c>
      <c r="AK137" s="298"/>
      <c r="AL137" s="298"/>
      <c r="AM137" s="301"/>
      <c r="AN137" s="301">
        <f t="shared" si="33"/>
        <v>0</v>
      </c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1"/>
      <c r="AZ137" s="301"/>
      <c r="BA137" s="301"/>
      <c r="BB137" s="301"/>
      <c r="BC137" s="301"/>
      <c r="BD137" s="301"/>
    </row>
    <row r="138" spans="1:56" ht="12.75" hidden="1">
      <c r="A138" s="98" t="s">
        <v>438</v>
      </c>
      <c r="C138" s="261" t="s">
        <v>308</v>
      </c>
      <c r="D138" s="203" t="s">
        <v>291</v>
      </c>
      <c r="E138" s="149"/>
      <c r="F138" s="150">
        <v>0.045</v>
      </c>
      <c r="G138" s="150"/>
      <c r="H138" s="262">
        <v>37622</v>
      </c>
      <c r="I138" s="263">
        <v>37803</v>
      </c>
      <c r="J138" s="152">
        <v>0.025</v>
      </c>
      <c r="K138" s="200">
        <v>0.015</v>
      </c>
      <c r="L138" s="200">
        <v>0.005</v>
      </c>
      <c r="M138" s="153"/>
      <c r="N138" s="153"/>
      <c r="O138" s="200"/>
      <c r="P138" s="153"/>
      <c r="Q138" s="153"/>
      <c r="R138" s="153"/>
      <c r="S138" s="153"/>
      <c r="T138" s="171">
        <f t="shared" si="37"/>
        <v>0.045</v>
      </c>
      <c r="U138" s="153">
        <v>0.102</v>
      </c>
      <c r="V138" s="236">
        <f t="shared" si="34"/>
        <v>-0.056999999999999995</v>
      </c>
      <c r="W138" s="153"/>
      <c r="X138" s="153"/>
      <c r="Y138" s="128"/>
      <c r="Z138" s="168">
        <f t="shared" si="36"/>
        <v>0.045</v>
      </c>
      <c r="AB138" s="88">
        <f t="shared" si="18"/>
        <v>0</v>
      </c>
      <c r="AD138" s="298"/>
      <c r="AE138" s="298"/>
      <c r="AF138" s="298"/>
      <c r="AG138" s="298"/>
      <c r="AH138" s="298"/>
      <c r="AI138" s="298"/>
      <c r="AJ138" s="298">
        <f t="shared" si="32"/>
        <v>0</v>
      </c>
      <c r="AK138" s="298"/>
      <c r="AL138" s="298"/>
      <c r="AM138" s="301"/>
      <c r="AN138" s="301">
        <f t="shared" si="33"/>
        <v>0</v>
      </c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</row>
    <row r="139" spans="1:56" ht="12.75" hidden="1">
      <c r="A139" s="98" t="s">
        <v>439</v>
      </c>
      <c r="C139" s="261" t="s">
        <v>309</v>
      </c>
      <c r="D139" s="203" t="s">
        <v>292</v>
      </c>
      <c r="E139" s="149"/>
      <c r="F139" s="150">
        <v>0.006</v>
      </c>
      <c r="G139" s="150"/>
      <c r="H139" s="262">
        <v>37712</v>
      </c>
      <c r="I139" s="263">
        <v>38047</v>
      </c>
      <c r="J139" s="152"/>
      <c r="K139" s="153"/>
      <c r="L139" s="200"/>
      <c r="M139" s="153"/>
      <c r="N139" s="153">
        <v>0.006</v>
      </c>
      <c r="O139" s="200"/>
      <c r="P139" s="153"/>
      <c r="Q139" s="153"/>
      <c r="R139" s="153"/>
      <c r="S139" s="153"/>
      <c r="T139" s="171">
        <f t="shared" si="37"/>
        <v>0.006</v>
      </c>
      <c r="U139" s="153">
        <v>0.006</v>
      </c>
      <c r="V139" s="236">
        <f t="shared" si="34"/>
        <v>0</v>
      </c>
      <c r="W139" s="153"/>
      <c r="X139" s="153"/>
      <c r="Y139" s="128"/>
      <c r="Z139" s="168">
        <f t="shared" si="36"/>
        <v>0.006</v>
      </c>
      <c r="AB139" s="88">
        <f t="shared" si="18"/>
        <v>0</v>
      </c>
      <c r="AD139" s="298"/>
      <c r="AE139" s="298"/>
      <c r="AF139" s="298"/>
      <c r="AG139" s="298"/>
      <c r="AH139" s="298"/>
      <c r="AI139" s="298"/>
      <c r="AJ139" s="298">
        <f t="shared" si="32"/>
        <v>0</v>
      </c>
      <c r="AK139" s="298"/>
      <c r="AL139" s="298"/>
      <c r="AM139" s="301"/>
      <c r="AN139" s="301">
        <f t="shared" si="33"/>
        <v>0</v>
      </c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</row>
    <row r="140" spans="1:56" ht="12.75" hidden="1">
      <c r="A140" s="98" t="s">
        <v>440</v>
      </c>
      <c r="C140" s="261" t="s">
        <v>310</v>
      </c>
      <c r="D140" s="203" t="s">
        <v>293</v>
      </c>
      <c r="E140" s="149"/>
      <c r="F140" s="150">
        <v>0.06</v>
      </c>
      <c r="G140" s="150"/>
      <c r="H140" s="262">
        <v>37681</v>
      </c>
      <c r="I140" s="263">
        <v>38047</v>
      </c>
      <c r="J140" s="152"/>
      <c r="K140" s="153"/>
      <c r="L140" s="200"/>
      <c r="M140" s="153"/>
      <c r="N140" s="153"/>
      <c r="O140" s="200">
        <v>0.008</v>
      </c>
      <c r="P140" s="153">
        <v>0.008</v>
      </c>
      <c r="Q140" s="153">
        <v>0.008</v>
      </c>
      <c r="R140" s="153">
        <v>0.008</v>
      </c>
      <c r="S140" s="153">
        <v>0.008</v>
      </c>
      <c r="T140" s="171">
        <f t="shared" si="37"/>
        <v>0.04</v>
      </c>
      <c r="U140" s="153">
        <v>0</v>
      </c>
      <c r="V140" s="236">
        <f t="shared" si="34"/>
        <v>0.04</v>
      </c>
      <c r="W140" s="153">
        <v>0.008</v>
      </c>
      <c r="X140" s="153">
        <v>0.012</v>
      </c>
      <c r="Y140" s="128"/>
      <c r="Z140" s="168">
        <f t="shared" si="36"/>
        <v>0.06</v>
      </c>
      <c r="AB140" s="88">
        <f t="shared" si="18"/>
        <v>0</v>
      </c>
      <c r="AD140" s="298"/>
      <c r="AE140" s="298"/>
      <c r="AF140" s="298"/>
      <c r="AG140" s="298"/>
      <c r="AH140" s="298"/>
      <c r="AI140" s="298"/>
      <c r="AJ140" s="298">
        <f t="shared" si="32"/>
        <v>0</v>
      </c>
      <c r="AK140" s="298"/>
      <c r="AL140" s="298"/>
      <c r="AM140" s="301"/>
      <c r="AN140" s="301">
        <f t="shared" si="33"/>
        <v>0</v>
      </c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</row>
    <row r="141" spans="3:56" ht="12.75" hidden="1">
      <c r="C141" s="260"/>
      <c r="D141" s="203"/>
      <c r="E141" s="149"/>
      <c r="F141" s="150"/>
      <c r="G141" s="150"/>
      <c r="H141" s="262"/>
      <c r="I141" s="263"/>
      <c r="J141" s="152"/>
      <c r="K141" s="153"/>
      <c r="L141" s="200"/>
      <c r="M141" s="153"/>
      <c r="N141" s="153"/>
      <c r="O141" s="200"/>
      <c r="P141" s="153"/>
      <c r="Q141" s="153"/>
      <c r="R141" s="153"/>
      <c r="S141" s="153"/>
      <c r="T141" s="171">
        <f t="shared" si="37"/>
        <v>0</v>
      </c>
      <c r="U141" s="153"/>
      <c r="V141" s="236">
        <f t="shared" si="34"/>
        <v>0</v>
      </c>
      <c r="W141" s="153"/>
      <c r="X141" s="153"/>
      <c r="Y141" s="128"/>
      <c r="Z141" s="168">
        <f t="shared" si="36"/>
        <v>0</v>
      </c>
      <c r="AB141" s="88">
        <f t="shared" si="18"/>
        <v>0</v>
      </c>
      <c r="AD141" s="298"/>
      <c r="AE141" s="298"/>
      <c r="AF141" s="298"/>
      <c r="AG141" s="298"/>
      <c r="AH141" s="298"/>
      <c r="AI141" s="298"/>
      <c r="AJ141" s="298">
        <f t="shared" si="32"/>
        <v>0</v>
      </c>
      <c r="AK141" s="298"/>
      <c r="AL141" s="298"/>
      <c r="AM141" s="301"/>
      <c r="AN141" s="301">
        <f t="shared" si="33"/>
        <v>0</v>
      </c>
      <c r="AP141" s="301"/>
      <c r="AQ141" s="301"/>
      <c r="AR141" s="301"/>
      <c r="AS141" s="301"/>
      <c r="AT141" s="301"/>
      <c r="AU141" s="301"/>
      <c r="AV141" s="301"/>
      <c r="AW141" s="301"/>
      <c r="AX141" s="301"/>
      <c r="AY141" s="301"/>
      <c r="AZ141" s="301"/>
      <c r="BA141" s="301"/>
      <c r="BB141" s="301"/>
      <c r="BC141" s="301"/>
      <c r="BD141" s="301"/>
    </row>
    <row r="142" spans="3:56" ht="12.75" hidden="1">
      <c r="C142" s="155"/>
      <c r="D142" s="203"/>
      <c r="E142" s="149"/>
      <c r="F142" s="150"/>
      <c r="G142" s="150"/>
      <c r="H142" s="262"/>
      <c r="I142" s="263"/>
      <c r="J142" s="152"/>
      <c r="K142" s="153"/>
      <c r="L142" s="200"/>
      <c r="M142" s="153"/>
      <c r="N142" s="153"/>
      <c r="O142" s="200"/>
      <c r="P142" s="153"/>
      <c r="Q142" s="153"/>
      <c r="R142" s="153"/>
      <c r="S142" s="153"/>
      <c r="T142" s="171">
        <f t="shared" si="37"/>
        <v>0</v>
      </c>
      <c r="U142" s="154"/>
      <c r="V142" s="236">
        <f t="shared" si="34"/>
        <v>0</v>
      </c>
      <c r="W142" s="153"/>
      <c r="X142" s="153"/>
      <c r="Y142" s="128"/>
      <c r="Z142" s="168">
        <f t="shared" si="36"/>
        <v>0</v>
      </c>
      <c r="AB142" s="88">
        <f t="shared" si="18"/>
        <v>0</v>
      </c>
      <c r="AD142" s="298"/>
      <c r="AE142" s="298"/>
      <c r="AF142" s="298"/>
      <c r="AG142" s="298"/>
      <c r="AH142" s="298"/>
      <c r="AI142" s="298"/>
      <c r="AJ142" s="298">
        <f t="shared" si="32"/>
        <v>0</v>
      </c>
      <c r="AK142" s="298"/>
      <c r="AL142" s="298"/>
      <c r="AM142" s="301"/>
      <c r="AN142" s="301">
        <f t="shared" si="33"/>
        <v>0</v>
      </c>
      <c r="AP142" s="301"/>
      <c r="AQ142" s="301"/>
      <c r="AR142" s="301"/>
      <c r="AS142" s="301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</row>
    <row r="143" spans="3:56" ht="12.75">
      <c r="C143" s="155" t="s">
        <v>108</v>
      </c>
      <c r="D143" s="203"/>
      <c r="E143" s="149"/>
      <c r="F143" s="150">
        <f>SUM(F144:F159)</f>
        <v>0.8200000000000001</v>
      </c>
      <c r="G143" s="150"/>
      <c r="H143" s="262">
        <v>37196</v>
      </c>
      <c r="I143" s="263">
        <v>38412</v>
      </c>
      <c r="J143" s="152">
        <f aca="true" t="shared" si="38" ref="J143:X143">SUM(J144:J159)</f>
        <v>0.023</v>
      </c>
      <c r="K143" s="153">
        <f t="shared" si="38"/>
        <v>0</v>
      </c>
      <c r="L143" s="153">
        <f t="shared" si="38"/>
        <v>0</v>
      </c>
      <c r="M143" s="153">
        <f t="shared" si="38"/>
        <v>0</v>
      </c>
      <c r="N143" s="153">
        <f t="shared" si="38"/>
        <v>0.009000000000000001</v>
      </c>
      <c r="O143" s="200">
        <f>SUM(O144:O159)</f>
        <v>0.054000000000000006</v>
      </c>
      <c r="P143" s="153">
        <f>SUM(P144:P159)</f>
        <v>0.064</v>
      </c>
      <c r="Q143" s="153">
        <f>SUM(Q144:Q159)</f>
        <v>0.09300000000000001</v>
      </c>
      <c r="R143" s="153">
        <f>SUM(R144:R159)</f>
        <v>0.09800000000000002</v>
      </c>
      <c r="S143" s="153">
        <f>SUM(S144:S159)</f>
        <v>0.177</v>
      </c>
      <c r="T143" s="171">
        <f t="shared" si="37"/>
        <v>0.518</v>
      </c>
      <c r="U143" s="154">
        <f>SUM(U144:U159)</f>
        <v>0.21600000000000003</v>
      </c>
      <c r="V143" s="236">
        <f t="shared" si="34"/>
        <v>0.302</v>
      </c>
      <c r="W143" s="153">
        <f t="shared" si="38"/>
        <v>0.15499999999999997</v>
      </c>
      <c r="X143" s="153">
        <f t="shared" si="38"/>
        <v>0.147</v>
      </c>
      <c r="Y143" s="128"/>
      <c r="Z143" s="168">
        <f t="shared" si="36"/>
        <v>0.82</v>
      </c>
      <c r="AB143" s="88">
        <f aca="true" t="shared" si="39" ref="AB143:AB206">F143-Z143</f>
        <v>0</v>
      </c>
      <c r="AD143" s="298"/>
      <c r="AE143" s="298"/>
      <c r="AF143" s="298"/>
      <c r="AG143" s="298"/>
      <c r="AH143" s="298"/>
      <c r="AI143" s="298"/>
      <c r="AJ143" s="298">
        <f t="shared" si="32"/>
        <v>0</v>
      </c>
      <c r="AK143" s="298"/>
      <c r="AL143" s="298"/>
      <c r="AM143" s="301"/>
      <c r="AN143" s="301">
        <f t="shared" si="33"/>
        <v>0</v>
      </c>
      <c r="AP143" s="301"/>
      <c r="AQ143" s="301"/>
      <c r="AR143" s="301"/>
      <c r="AS143" s="301"/>
      <c r="AT143" s="301"/>
      <c r="AU143" s="301"/>
      <c r="AV143" s="301"/>
      <c r="AW143" s="301"/>
      <c r="AX143" s="301"/>
      <c r="AY143" s="301"/>
      <c r="AZ143" s="301"/>
      <c r="BA143" s="301"/>
      <c r="BB143" s="301"/>
      <c r="BC143" s="301"/>
      <c r="BD143" s="301"/>
    </row>
    <row r="144" spans="1:56" ht="12.75" hidden="1">
      <c r="A144" s="98" t="s">
        <v>311</v>
      </c>
      <c r="C144" s="261" t="s">
        <v>343</v>
      </c>
      <c r="D144" s="203" t="s">
        <v>311</v>
      </c>
      <c r="E144" s="149"/>
      <c r="F144" s="150">
        <v>0.02</v>
      </c>
      <c r="G144" s="150"/>
      <c r="H144" s="262">
        <v>37712</v>
      </c>
      <c r="I144" s="263">
        <v>38047</v>
      </c>
      <c r="J144" s="152"/>
      <c r="K144" s="153"/>
      <c r="L144" s="200"/>
      <c r="M144" s="153"/>
      <c r="N144" s="153"/>
      <c r="O144" s="200">
        <v>0.008</v>
      </c>
      <c r="P144" s="153">
        <v>0.006</v>
      </c>
      <c r="Q144" s="153">
        <v>0.006</v>
      </c>
      <c r="R144" s="153"/>
      <c r="S144" s="153"/>
      <c r="T144" s="171">
        <f t="shared" si="37"/>
        <v>0.02</v>
      </c>
      <c r="U144" s="153">
        <v>0</v>
      </c>
      <c r="V144" s="236">
        <f t="shared" si="34"/>
        <v>0.02</v>
      </c>
      <c r="W144" s="153"/>
      <c r="X144" s="153"/>
      <c r="Y144" s="128"/>
      <c r="Z144" s="168">
        <f t="shared" si="36"/>
        <v>0.02</v>
      </c>
      <c r="AB144" s="88">
        <f t="shared" si="39"/>
        <v>0</v>
      </c>
      <c r="AD144" s="298"/>
      <c r="AE144" s="298"/>
      <c r="AF144" s="298"/>
      <c r="AG144" s="298"/>
      <c r="AH144" s="298"/>
      <c r="AI144" s="298"/>
      <c r="AJ144" s="298">
        <f t="shared" si="32"/>
        <v>0</v>
      </c>
      <c r="AK144" s="298"/>
      <c r="AL144" s="298"/>
      <c r="AM144" s="301"/>
      <c r="AN144" s="301">
        <f t="shared" si="33"/>
        <v>0</v>
      </c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301"/>
      <c r="BD144" s="301"/>
    </row>
    <row r="145" spans="1:56" ht="12.75" hidden="1">
      <c r="A145" s="98" t="s">
        <v>312</v>
      </c>
      <c r="C145" s="261" t="s">
        <v>344</v>
      </c>
      <c r="D145" s="203" t="s">
        <v>312</v>
      </c>
      <c r="E145" s="149"/>
      <c r="F145" s="150">
        <v>0.014</v>
      </c>
      <c r="G145" s="150"/>
      <c r="H145" s="262">
        <v>37712</v>
      </c>
      <c r="I145" s="263">
        <v>38047</v>
      </c>
      <c r="J145" s="152"/>
      <c r="K145" s="153"/>
      <c r="L145" s="200"/>
      <c r="M145" s="153"/>
      <c r="N145" s="153">
        <v>0.006</v>
      </c>
      <c r="O145" s="200">
        <v>0.004</v>
      </c>
      <c r="P145" s="153"/>
      <c r="Q145" s="153"/>
      <c r="R145" s="153"/>
      <c r="S145" s="153"/>
      <c r="T145" s="171">
        <f t="shared" si="37"/>
        <v>0.01</v>
      </c>
      <c r="U145" s="153">
        <v>0.014</v>
      </c>
      <c r="V145" s="236">
        <f t="shared" si="34"/>
        <v>-0.004</v>
      </c>
      <c r="W145" s="153">
        <v>0.004</v>
      </c>
      <c r="X145" s="153"/>
      <c r="Y145" s="128"/>
      <c r="Z145" s="168">
        <f t="shared" si="36"/>
        <v>0.014</v>
      </c>
      <c r="AB145" s="88">
        <f t="shared" si="39"/>
        <v>0</v>
      </c>
      <c r="AD145" s="298"/>
      <c r="AE145" s="298"/>
      <c r="AF145" s="298"/>
      <c r="AG145" s="298"/>
      <c r="AH145" s="298"/>
      <c r="AI145" s="298"/>
      <c r="AJ145" s="298">
        <f t="shared" si="32"/>
        <v>0</v>
      </c>
      <c r="AK145" s="298"/>
      <c r="AL145" s="298"/>
      <c r="AM145" s="301"/>
      <c r="AN145" s="301">
        <f t="shared" si="33"/>
        <v>0</v>
      </c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1"/>
      <c r="BB145" s="301"/>
      <c r="BC145" s="301"/>
      <c r="BD145" s="301"/>
    </row>
    <row r="146" spans="1:56" ht="12.75" hidden="1">
      <c r="A146" s="98" t="s">
        <v>313</v>
      </c>
      <c r="C146" s="261" t="s">
        <v>345</v>
      </c>
      <c r="D146" s="203" t="s">
        <v>313</v>
      </c>
      <c r="E146" s="149"/>
      <c r="F146" s="150">
        <v>0.005</v>
      </c>
      <c r="G146" s="150"/>
      <c r="H146" s="262">
        <v>37712</v>
      </c>
      <c r="I146" s="263">
        <v>38047</v>
      </c>
      <c r="J146" s="152"/>
      <c r="K146" s="153"/>
      <c r="L146" s="200"/>
      <c r="M146" s="153"/>
      <c r="N146" s="153"/>
      <c r="O146" s="200">
        <v>0.001</v>
      </c>
      <c r="P146" s="153">
        <v>0.001</v>
      </c>
      <c r="Q146" s="153">
        <v>0.001</v>
      </c>
      <c r="R146" s="153">
        <v>0.001</v>
      </c>
      <c r="S146" s="153">
        <v>0.001</v>
      </c>
      <c r="T146" s="171">
        <f t="shared" si="37"/>
        <v>0.005</v>
      </c>
      <c r="U146" s="153">
        <v>0.001</v>
      </c>
      <c r="V146" s="236">
        <f t="shared" si="34"/>
        <v>0.004</v>
      </c>
      <c r="W146" s="153"/>
      <c r="X146" s="153"/>
      <c r="Y146" s="128"/>
      <c r="Z146" s="168">
        <f t="shared" si="36"/>
        <v>0.005</v>
      </c>
      <c r="AB146" s="88">
        <f t="shared" si="39"/>
        <v>0</v>
      </c>
      <c r="AD146" s="298"/>
      <c r="AE146" s="298"/>
      <c r="AF146" s="298"/>
      <c r="AG146" s="298"/>
      <c r="AH146" s="298"/>
      <c r="AI146" s="298"/>
      <c r="AJ146" s="298">
        <f t="shared" si="32"/>
        <v>0</v>
      </c>
      <c r="AK146" s="298"/>
      <c r="AL146" s="298"/>
      <c r="AM146" s="301"/>
      <c r="AN146" s="301">
        <f t="shared" si="33"/>
        <v>0</v>
      </c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</row>
    <row r="147" spans="1:56" ht="12.75" hidden="1">
      <c r="A147" s="98" t="s">
        <v>314</v>
      </c>
      <c r="C147" s="261" t="s">
        <v>346</v>
      </c>
      <c r="D147" s="203" t="s">
        <v>314</v>
      </c>
      <c r="E147" s="149"/>
      <c r="F147" s="150">
        <v>0.005</v>
      </c>
      <c r="G147" s="150"/>
      <c r="H147" s="262">
        <v>37316</v>
      </c>
      <c r="I147" s="263">
        <v>37500</v>
      </c>
      <c r="J147" s="152">
        <v>0.005</v>
      </c>
      <c r="K147" s="153"/>
      <c r="L147" s="200"/>
      <c r="M147" s="153"/>
      <c r="N147" s="153"/>
      <c r="O147" s="200"/>
      <c r="P147" s="153"/>
      <c r="Q147" s="153"/>
      <c r="R147" s="153"/>
      <c r="S147" s="153"/>
      <c r="T147" s="171">
        <f t="shared" si="37"/>
        <v>0.005</v>
      </c>
      <c r="U147" s="153">
        <v>0</v>
      </c>
      <c r="V147" s="236">
        <f t="shared" si="34"/>
        <v>0.005</v>
      </c>
      <c r="W147" s="153"/>
      <c r="X147" s="153"/>
      <c r="Y147" s="128"/>
      <c r="Z147" s="168">
        <f t="shared" si="36"/>
        <v>0.005</v>
      </c>
      <c r="AB147" s="88">
        <f t="shared" si="39"/>
        <v>0</v>
      </c>
      <c r="AD147" s="298"/>
      <c r="AE147" s="298"/>
      <c r="AF147" s="298"/>
      <c r="AG147" s="298"/>
      <c r="AH147" s="298"/>
      <c r="AI147" s="298"/>
      <c r="AJ147" s="298">
        <f t="shared" si="32"/>
        <v>0</v>
      </c>
      <c r="AK147" s="298"/>
      <c r="AL147" s="298"/>
      <c r="AM147" s="301"/>
      <c r="AN147" s="301">
        <f t="shared" si="33"/>
        <v>0</v>
      </c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1"/>
      <c r="BB147" s="301"/>
      <c r="BC147" s="301"/>
      <c r="BD147" s="301"/>
    </row>
    <row r="148" spans="3:56" ht="12.75" hidden="1">
      <c r="C148" s="261" t="s">
        <v>479</v>
      </c>
      <c r="D148" s="203" t="s">
        <v>480</v>
      </c>
      <c r="E148" s="149"/>
      <c r="F148" s="150"/>
      <c r="G148" s="150"/>
      <c r="H148" s="262"/>
      <c r="I148" s="263"/>
      <c r="J148" s="152"/>
      <c r="K148" s="153"/>
      <c r="L148" s="200"/>
      <c r="M148" s="153"/>
      <c r="N148" s="153"/>
      <c r="O148" s="200"/>
      <c r="P148" s="153"/>
      <c r="Q148" s="153"/>
      <c r="R148" s="153"/>
      <c r="S148" s="153"/>
      <c r="T148" s="171"/>
      <c r="U148" s="153">
        <v>0.011</v>
      </c>
      <c r="V148" s="236">
        <f t="shared" si="34"/>
        <v>-0.011</v>
      </c>
      <c r="W148" s="153"/>
      <c r="X148" s="153"/>
      <c r="Y148" s="128"/>
      <c r="Z148" s="168"/>
      <c r="AB148" s="88">
        <f t="shared" si="39"/>
        <v>0</v>
      </c>
      <c r="AD148" s="298"/>
      <c r="AE148" s="298"/>
      <c r="AF148" s="298"/>
      <c r="AG148" s="298"/>
      <c r="AH148" s="298"/>
      <c r="AI148" s="298"/>
      <c r="AJ148" s="298">
        <f t="shared" si="32"/>
        <v>0</v>
      </c>
      <c r="AK148" s="298"/>
      <c r="AL148" s="298"/>
      <c r="AM148" s="301"/>
      <c r="AN148" s="301">
        <f t="shared" si="33"/>
        <v>0</v>
      </c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1"/>
      <c r="BD148" s="301"/>
    </row>
    <row r="149" spans="1:56" ht="12.75" hidden="1">
      <c r="A149" s="98" t="s">
        <v>315</v>
      </c>
      <c r="C149" s="261" t="s">
        <v>347</v>
      </c>
      <c r="D149" s="203" t="s">
        <v>315</v>
      </c>
      <c r="E149" s="149"/>
      <c r="F149" s="150">
        <v>0.15</v>
      </c>
      <c r="G149" s="150"/>
      <c r="H149" s="262">
        <v>37987</v>
      </c>
      <c r="I149" s="263">
        <v>38047</v>
      </c>
      <c r="J149" s="152"/>
      <c r="K149" s="153"/>
      <c r="L149" s="200"/>
      <c r="M149" s="153"/>
      <c r="N149" s="153"/>
      <c r="O149" s="200"/>
      <c r="P149" s="153"/>
      <c r="Q149" s="153"/>
      <c r="R149" s="153"/>
      <c r="S149" s="153">
        <v>0.05</v>
      </c>
      <c r="T149" s="171">
        <f t="shared" si="37"/>
        <v>0.05</v>
      </c>
      <c r="U149" s="153">
        <v>0.001</v>
      </c>
      <c r="V149" s="236">
        <f t="shared" si="34"/>
        <v>0.049</v>
      </c>
      <c r="W149" s="153">
        <v>0.05</v>
      </c>
      <c r="X149" s="153">
        <v>0.05</v>
      </c>
      <c r="Y149" s="128"/>
      <c r="Z149" s="168">
        <f t="shared" si="36"/>
        <v>0.15000000000000002</v>
      </c>
      <c r="AB149" s="88">
        <f t="shared" si="39"/>
        <v>0</v>
      </c>
      <c r="AD149" s="298"/>
      <c r="AE149" s="298"/>
      <c r="AF149" s="298"/>
      <c r="AG149" s="298"/>
      <c r="AH149" s="298"/>
      <c r="AI149" s="298"/>
      <c r="AJ149" s="298">
        <f t="shared" si="32"/>
        <v>0</v>
      </c>
      <c r="AK149" s="298"/>
      <c r="AL149" s="298"/>
      <c r="AM149" s="301"/>
      <c r="AN149" s="301">
        <f t="shared" si="33"/>
        <v>0</v>
      </c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</row>
    <row r="150" spans="1:56" ht="12.75" hidden="1">
      <c r="A150" s="98" t="s">
        <v>316</v>
      </c>
      <c r="C150" s="261" t="s">
        <v>348</v>
      </c>
      <c r="D150" s="203" t="s">
        <v>316</v>
      </c>
      <c r="E150" s="149"/>
      <c r="F150" s="150">
        <v>0.03</v>
      </c>
      <c r="G150" s="150"/>
      <c r="H150" s="262">
        <v>37834</v>
      </c>
      <c r="I150" s="263">
        <v>37865</v>
      </c>
      <c r="J150" s="152"/>
      <c r="K150" s="153"/>
      <c r="L150" s="200"/>
      <c r="M150" s="153"/>
      <c r="N150" s="153"/>
      <c r="O150" s="200">
        <v>0.015</v>
      </c>
      <c r="P150" s="153">
        <v>0.015</v>
      </c>
      <c r="Q150" s="153"/>
      <c r="R150" s="153"/>
      <c r="S150" s="153"/>
      <c r="T150" s="171">
        <f t="shared" si="37"/>
        <v>0.03</v>
      </c>
      <c r="U150" s="153">
        <v>0.029</v>
      </c>
      <c r="V150" s="236">
        <f t="shared" si="34"/>
        <v>0.0009999999999999974</v>
      </c>
      <c r="W150" s="153"/>
      <c r="X150" s="153"/>
      <c r="Y150" s="128"/>
      <c r="Z150" s="168">
        <f t="shared" si="36"/>
        <v>0.03</v>
      </c>
      <c r="AB150" s="88">
        <f t="shared" si="39"/>
        <v>0</v>
      </c>
      <c r="AD150" s="298"/>
      <c r="AE150" s="298"/>
      <c r="AF150" s="298"/>
      <c r="AG150" s="298"/>
      <c r="AH150" s="298"/>
      <c r="AI150" s="298"/>
      <c r="AJ150" s="298">
        <f t="shared" si="32"/>
        <v>0</v>
      </c>
      <c r="AK150" s="298"/>
      <c r="AL150" s="298"/>
      <c r="AM150" s="301"/>
      <c r="AN150" s="301">
        <f t="shared" si="33"/>
        <v>0</v>
      </c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</row>
    <row r="151" spans="1:56" ht="12.75" hidden="1">
      <c r="A151" s="98" t="s">
        <v>317</v>
      </c>
      <c r="C151" s="261" t="s">
        <v>349</v>
      </c>
      <c r="D151" s="203" t="s">
        <v>317</v>
      </c>
      <c r="E151" s="149"/>
      <c r="F151" s="150">
        <v>0.005</v>
      </c>
      <c r="G151" s="150"/>
      <c r="H151" s="262">
        <v>37196</v>
      </c>
      <c r="I151" s="263">
        <v>37288</v>
      </c>
      <c r="J151" s="152">
        <v>0.005</v>
      </c>
      <c r="K151" s="153"/>
      <c r="L151" s="200"/>
      <c r="M151" s="153"/>
      <c r="N151" s="153"/>
      <c r="O151" s="200"/>
      <c r="P151" s="153"/>
      <c r="Q151" s="153"/>
      <c r="R151" s="153"/>
      <c r="S151" s="153"/>
      <c r="T151" s="171">
        <f t="shared" si="37"/>
        <v>0.005</v>
      </c>
      <c r="U151" s="153">
        <v>0.005</v>
      </c>
      <c r="V151" s="236">
        <f t="shared" si="34"/>
        <v>0</v>
      </c>
      <c r="W151" s="153"/>
      <c r="X151" s="153"/>
      <c r="Y151" s="128"/>
      <c r="Z151" s="168">
        <f t="shared" si="36"/>
        <v>0.005</v>
      </c>
      <c r="AB151" s="88">
        <f t="shared" si="39"/>
        <v>0</v>
      </c>
      <c r="AD151" s="298"/>
      <c r="AE151" s="298"/>
      <c r="AF151" s="298"/>
      <c r="AG151" s="298"/>
      <c r="AH151" s="298"/>
      <c r="AI151" s="298"/>
      <c r="AJ151" s="298">
        <f t="shared" si="32"/>
        <v>0</v>
      </c>
      <c r="AK151" s="298"/>
      <c r="AL151" s="298"/>
      <c r="AM151" s="301"/>
      <c r="AN151" s="301">
        <f t="shared" si="33"/>
        <v>0</v>
      </c>
      <c r="AP151" s="301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1"/>
      <c r="BB151" s="301"/>
      <c r="BC151" s="301"/>
      <c r="BD151" s="301"/>
    </row>
    <row r="152" spans="1:56" ht="12.75" hidden="1">
      <c r="A152" s="98" t="s">
        <v>318</v>
      </c>
      <c r="C152" s="261" t="s">
        <v>350</v>
      </c>
      <c r="D152" s="203" t="s">
        <v>318</v>
      </c>
      <c r="E152" s="149"/>
      <c r="F152" s="150">
        <v>0.013</v>
      </c>
      <c r="G152" s="150"/>
      <c r="H152" s="262">
        <v>37257</v>
      </c>
      <c r="I152" s="263">
        <v>37377</v>
      </c>
      <c r="J152" s="152">
        <v>0.013</v>
      </c>
      <c r="K152" s="153"/>
      <c r="L152" s="200"/>
      <c r="M152" s="153"/>
      <c r="N152" s="153"/>
      <c r="O152" s="200"/>
      <c r="P152" s="153"/>
      <c r="Q152" s="153"/>
      <c r="R152" s="153"/>
      <c r="S152" s="153"/>
      <c r="T152" s="171">
        <f t="shared" si="37"/>
        <v>0.013</v>
      </c>
      <c r="U152" s="153">
        <v>0.013</v>
      </c>
      <c r="V152" s="236">
        <f t="shared" si="34"/>
        <v>0</v>
      </c>
      <c r="W152" s="153"/>
      <c r="X152" s="153"/>
      <c r="Y152" s="128"/>
      <c r="Z152" s="168">
        <f t="shared" si="36"/>
        <v>0.013</v>
      </c>
      <c r="AB152" s="88">
        <f t="shared" si="39"/>
        <v>0</v>
      </c>
      <c r="AD152" s="298"/>
      <c r="AE152" s="298"/>
      <c r="AF152" s="298"/>
      <c r="AG152" s="298"/>
      <c r="AH152" s="298"/>
      <c r="AI152" s="298"/>
      <c r="AJ152" s="298">
        <f t="shared" si="32"/>
        <v>0</v>
      </c>
      <c r="AK152" s="298"/>
      <c r="AL152" s="298"/>
      <c r="AM152" s="301"/>
      <c r="AN152" s="301">
        <f t="shared" si="33"/>
        <v>0</v>
      </c>
      <c r="AP152" s="301"/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1"/>
      <c r="BB152" s="301"/>
      <c r="BC152" s="301"/>
      <c r="BD152" s="301"/>
    </row>
    <row r="153" spans="1:56" ht="12.75" hidden="1">
      <c r="A153" s="98" t="s">
        <v>319</v>
      </c>
      <c r="C153" s="261" t="s">
        <v>351</v>
      </c>
      <c r="D153" s="203" t="s">
        <v>319</v>
      </c>
      <c r="E153" s="149"/>
      <c r="F153" s="150">
        <v>0.125</v>
      </c>
      <c r="G153" s="150"/>
      <c r="H153" s="262">
        <v>37834</v>
      </c>
      <c r="I153" s="263">
        <v>37956</v>
      </c>
      <c r="J153" s="152"/>
      <c r="K153" s="153"/>
      <c r="L153" s="200"/>
      <c r="M153" s="153"/>
      <c r="N153" s="153"/>
      <c r="O153" s="200">
        <v>0.025</v>
      </c>
      <c r="P153" s="153">
        <v>0.025</v>
      </c>
      <c r="Q153" s="153">
        <v>0.025</v>
      </c>
      <c r="R153" s="153">
        <v>0.025</v>
      </c>
      <c r="S153" s="153">
        <v>0.025</v>
      </c>
      <c r="T153" s="171">
        <f t="shared" si="37"/>
        <v>0.125</v>
      </c>
      <c r="U153" s="153">
        <v>0.132</v>
      </c>
      <c r="V153" s="236">
        <f t="shared" si="34"/>
        <v>-0.007000000000000006</v>
      </c>
      <c r="W153" s="153"/>
      <c r="X153" s="153"/>
      <c r="Y153" s="128"/>
      <c r="Z153" s="168">
        <f t="shared" si="36"/>
        <v>0.125</v>
      </c>
      <c r="AB153" s="88">
        <f t="shared" si="39"/>
        <v>0</v>
      </c>
      <c r="AD153" s="298"/>
      <c r="AE153" s="298"/>
      <c r="AF153" s="298"/>
      <c r="AG153" s="298"/>
      <c r="AH153" s="298"/>
      <c r="AI153" s="298"/>
      <c r="AJ153" s="298">
        <f t="shared" si="32"/>
        <v>0</v>
      </c>
      <c r="AK153" s="298"/>
      <c r="AL153" s="298"/>
      <c r="AM153" s="301"/>
      <c r="AN153" s="301">
        <f t="shared" si="33"/>
        <v>0</v>
      </c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</row>
    <row r="154" spans="1:56" ht="12.75" hidden="1">
      <c r="A154" s="98" t="s">
        <v>442</v>
      </c>
      <c r="C154" s="261" t="s">
        <v>445</v>
      </c>
      <c r="D154" s="203" t="s">
        <v>442</v>
      </c>
      <c r="E154" s="149"/>
      <c r="F154" s="150">
        <v>0.003</v>
      </c>
      <c r="G154" s="150"/>
      <c r="H154" s="262"/>
      <c r="I154" s="263"/>
      <c r="J154" s="152"/>
      <c r="K154" s="153"/>
      <c r="L154" s="200"/>
      <c r="M154" s="153"/>
      <c r="N154" s="153"/>
      <c r="O154" s="204"/>
      <c r="P154" s="153"/>
      <c r="Q154" s="153"/>
      <c r="R154" s="153"/>
      <c r="S154" s="153"/>
      <c r="T154" s="171">
        <f t="shared" si="37"/>
        <v>0</v>
      </c>
      <c r="U154" s="153">
        <v>0.003</v>
      </c>
      <c r="V154" s="236">
        <f t="shared" si="34"/>
        <v>-0.003</v>
      </c>
      <c r="W154" s="153"/>
      <c r="X154" s="153">
        <v>0.003</v>
      </c>
      <c r="Y154" s="128"/>
      <c r="Z154" s="168">
        <f aca="true" t="shared" si="40" ref="Z154:Z188">T154+SUM(W154:X154)</f>
        <v>0.003</v>
      </c>
      <c r="AB154" s="88">
        <f t="shared" si="39"/>
        <v>0</v>
      </c>
      <c r="AD154" s="298"/>
      <c r="AE154" s="298"/>
      <c r="AF154" s="298"/>
      <c r="AG154" s="298"/>
      <c r="AH154" s="298"/>
      <c r="AI154" s="298"/>
      <c r="AJ154" s="298">
        <f t="shared" si="32"/>
        <v>0</v>
      </c>
      <c r="AK154" s="298"/>
      <c r="AL154" s="298"/>
      <c r="AM154" s="301"/>
      <c r="AN154" s="301">
        <f t="shared" si="33"/>
        <v>0</v>
      </c>
      <c r="AP154" s="301"/>
      <c r="AQ154" s="301"/>
      <c r="AR154" s="301"/>
      <c r="AS154" s="301"/>
      <c r="AT154" s="301"/>
      <c r="AU154" s="301"/>
      <c r="AV154" s="301"/>
      <c r="AW154" s="301"/>
      <c r="AX154" s="301"/>
      <c r="AY154" s="301"/>
      <c r="AZ154" s="301"/>
      <c r="BA154" s="301"/>
      <c r="BB154" s="301"/>
      <c r="BC154" s="301"/>
      <c r="BD154" s="301"/>
    </row>
    <row r="155" spans="1:56" ht="12.75" hidden="1">
      <c r="A155" s="98" t="s">
        <v>320</v>
      </c>
      <c r="C155" s="261" t="s">
        <v>352</v>
      </c>
      <c r="D155" s="203" t="s">
        <v>320</v>
      </c>
      <c r="E155" s="149"/>
      <c r="F155" s="150">
        <v>0.17</v>
      </c>
      <c r="G155" s="150"/>
      <c r="H155" s="262">
        <v>37865</v>
      </c>
      <c r="I155" s="263">
        <v>38018</v>
      </c>
      <c r="J155" s="152"/>
      <c r="K155" s="153"/>
      <c r="L155" s="200"/>
      <c r="M155" s="153"/>
      <c r="N155" s="153">
        <v>0.003</v>
      </c>
      <c r="P155" s="153">
        <v>0.016</v>
      </c>
      <c r="Q155" s="153">
        <v>0.016</v>
      </c>
      <c r="R155" s="153">
        <v>0.027</v>
      </c>
      <c r="S155" s="153">
        <v>0.036</v>
      </c>
      <c r="T155" s="171">
        <f t="shared" si="37"/>
        <v>0.098</v>
      </c>
      <c r="U155" s="153">
        <v>0.004</v>
      </c>
      <c r="V155" s="236">
        <f t="shared" si="34"/>
        <v>0.094</v>
      </c>
      <c r="W155" s="153">
        <v>0.036</v>
      </c>
      <c r="X155" s="153">
        <v>0.036</v>
      </c>
      <c r="Y155" s="128"/>
      <c r="Z155" s="168">
        <f t="shared" si="40"/>
        <v>0.16999999999999998</v>
      </c>
      <c r="AB155" s="88">
        <f t="shared" si="39"/>
        <v>0</v>
      </c>
      <c r="AD155" s="298"/>
      <c r="AE155" s="298"/>
      <c r="AF155" s="298"/>
      <c r="AG155" s="298"/>
      <c r="AH155" s="298"/>
      <c r="AI155" s="298"/>
      <c r="AJ155" s="298">
        <f t="shared" si="32"/>
        <v>0</v>
      </c>
      <c r="AK155" s="298"/>
      <c r="AL155" s="298"/>
      <c r="AM155" s="301"/>
      <c r="AN155" s="301">
        <f t="shared" si="33"/>
        <v>0</v>
      </c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</row>
    <row r="156" spans="1:56" ht="12.75" hidden="1">
      <c r="A156" s="98" t="s">
        <v>376</v>
      </c>
      <c r="C156" s="261" t="s">
        <v>375</v>
      </c>
      <c r="D156" s="203" t="s">
        <v>376</v>
      </c>
      <c r="E156" s="149"/>
      <c r="F156" s="150">
        <v>0.12</v>
      </c>
      <c r="G156" s="150"/>
      <c r="H156" s="262">
        <v>37895</v>
      </c>
      <c r="I156" s="263">
        <v>38412</v>
      </c>
      <c r="J156" s="152"/>
      <c r="K156" s="153"/>
      <c r="L156" s="200"/>
      <c r="M156" s="153"/>
      <c r="N156" s="153"/>
      <c r="O156" s="200"/>
      <c r="P156" s="153"/>
      <c r="Q156" s="153">
        <v>0.024</v>
      </c>
      <c r="R156" s="153">
        <v>0.024</v>
      </c>
      <c r="S156" s="153">
        <v>0.024</v>
      </c>
      <c r="T156" s="171">
        <f t="shared" si="37"/>
        <v>0.07200000000000001</v>
      </c>
      <c r="U156" s="153">
        <v>0.002</v>
      </c>
      <c r="V156" s="236">
        <f t="shared" si="34"/>
        <v>0.07</v>
      </c>
      <c r="W156" s="153">
        <v>0.024</v>
      </c>
      <c r="X156" s="153">
        <v>0.024</v>
      </c>
      <c r="Y156" s="128"/>
      <c r="Z156" s="168">
        <f t="shared" si="40"/>
        <v>0.12000000000000001</v>
      </c>
      <c r="AB156" s="88">
        <f t="shared" si="39"/>
        <v>0</v>
      </c>
      <c r="AD156" s="298"/>
      <c r="AE156" s="298"/>
      <c r="AF156" s="298"/>
      <c r="AG156" s="298"/>
      <c r="AH156" s="298"/>
      <c r="AI156" s="298"/>
      <c r="AJ156" s="298">
        <f t="shared" si="32"/>
        <v>0</v>
      </c>
      <c r="AK156" s="298"/>
      <c r="AL156" s="298"/>
      <c r="AM156" s="301"/>
      <c r="AN156" s="301">
        <f t="shared" si="33"/>
        <v>0</v>
      </c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301"/>
      <c r="BD156" s="301"/>
    </row>
    <row r="157" spans="1:56" ht="12.75" hidden="1">
      <c r="A157" s="98" t="s">
        <v>321</v>
      </c>
      <c r="C157" s="261" t="s">
        <v>353</v>
      </c>
      <c r="D157" s="203" t="s">
        <v>321</v>
      </c>
      <c r="E157" s="149"/>
      <c r="F157" s="150">
        <v>0.01</v>
      </c>
      <c r="G157" s="150"/>
      <c r="H157" s="262">
        <v>37712</v>
      </c>
      <c r="I157" s="263">
        <v>38412</v>
      </c>
      <c r="J157" s="152"/>
      <c r="K157" s="153"/>
      <c r="L157" s="200"/>
      <c r="M157" s="153"/>
      <c r="N157" s="153"/>
      <c r="O157" s="200">
        <v>0.001</v>
      </c>
      <c r="P157" s="153">
        <v>0.001</v>
      </c>
      <c r="Q157" s="153">
        <v>0.001</v>
      </c>
      <c r="R157" s="153">
        <v>0.001</v>
      </c>
      <c r="S157" s="153">
        <v>0.001</v>
      </c>
      <c r="T157" s="171">
        <f t="shared" si="37"/>
        <v>0.005</v>
      </c>
      <c r="U157" s="153">
        <v>0</v>
      </c>
      <c r="V157" s="236">
        <f t="shared" si="34"/>
        <v>0.005</v>
      </c>
      <c r="W157" s="153">
        <v>0.001</v>
      </c>
      <c r="X157" s="153">
        <v>0.004</v>
      </c>
      <c r="Y157" s="128"/>
      <c r="Z157" s="168">
        <f t="shared" si="40"/>
        <v>0.01</v>
      </c>
      <c r="AB157" s="88">
        <f t="shared" si="39"/>
        <v>0</v>
      </c>
      <c r="AD157" s="298"/>
      <c r="AE157" s="298"/>
      <c r="AF157" s="298"/>
      <c r="AG157" s="298"/>
      <c r="AH157" s="298"/>
      <c r="AI157" s="298"/>
      <c r="AJ157" s="298">
        <f t="shared" si="32"/>
        <v>0</v>
      </c>
      <c r="AK157" s="298"/>
      <c r="AL157" s="298"/>
      <c r="AM157" s="301"/>
      <c r="AN157" s="301">
        <f t="shared" si="33"/>
        <v>0</v>
      </c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</row>
    <row r="158" spans="1:56" ht="12.75" hidden="1">
      <c r="A158" s="98" t="s">
        <v>443</v>
      </c>
      <c r="C158" s="261" t="s">
        <v>444</v>
      </c>
      <c r="D158" s="203"/>
      <c r="E158" s="149"/>
      <c r="F158" s="150">
        <v>0.05</v>
      </c>
      <c r="G158" s="150"/>
      <c r="H158" s="262"/>
      <c r="I158" s="263"/>
      <c r="J158" s="152"/>
      <c r="K158" s="153"/>
      <c r="L158" s="200"/>
      <c r="M158" s="153"/>
      <c r="N158" s="153"/>
      <c r="O158" s="200"/>
      <c r="P158" s="153"/>
      <c r="Q158" s="153"/>
      <c r="R158" s="153"/>
      <c r="S158" s="153">
        <v>0.02</v>
      </c>
      <c r="T158" s="171">
        <f t="shared" si="37"/>
        <v>0.02</v>
      </c>
      <c r="U158" s="153">
        <v>0.001</v>
      </c>
      <c r="V158" s="236">
        <f t="shared" si="34"/>
        <v>0.019</v>
      </c>
      <c r="W158" s="153">
        <v>0.02</v>
      </c>
      <c r="X158" s="153">
        <v>0.01</v>
      </c>
      <c r="Y158" s="128"/>
      <c r="Z158" s="168">
        <f t="shared" si="40"/>
        <v>0.05</v>
      </c>
      <c r="AB158" s="88">
        <f t="shared" si="39"/>
        <v>0</v>
      </c>
      <c r="AD158" s="298"/>
      <c r="AE158" s="298"/>
      <c r="AF158" s="298"/>
      <c r="AG158" s="298"/>
      <c r="AH158" s="298"/>
      <c r="AI158" s="298"/>
      <c r="AJ158" s="298">
        <f t="shared" si="32"/>
        <v>0</v>
      </c>
      <c r="AK158" s="298"/>
      <c r="AL158" s="298"/>
      <c r="AM158" s="301"/>
      <c r="AN158" s="301">
        <f t="shared" si="33"/>
        <v>0</v>
      </c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</row>
    <row r="159" spans="1:56" ht="12.75" hidden="1">
      <c r="A159" s="98" t="s">
        <v>322</v>
      </c>
      <c r="C159" s="260" t="s">
        <v>354</v>
      </c>
      <c r="D159" s="203" t="s">
        <v>322</v>
      </c>
      <c r="E159" s="149"/>
      <c r="F159" s="150">
        <v>0.1</v>
      </c>
      <c r="G159" s="150"/>
      <c r="H159" s="262">
        <v>37895</v>
      </c>
      <c r="I159" s="263">
        <v>38047</v>
      </c>
      <c r="J159" s="152"/>
      <c r="K159" s="153"/>
      <c r="L159" s="200"/>
      <c r="M159" s="153"/>
      <c r="N159" s="153"/>
      <c r="O159" s="200"/>
      <c r="P159" s="153"/>
      <c r="Q159" s="153">
        <v>0.02</v>
      </c>
      <c r="R159" s="153">
        <v>0.02</v>
      </c>
      <c r="S159" s="153">
        <v>0.02</v>
      </c>
      <c r="T159" s="171">
        <f t="shared" si="37"/>
        <v>0.06</v>
      </c>
      <c r="U159" s="153">
        <v>0</v>
      </c>
      <c r="V159" s="236">
        <f t="shared" si="34"/>
        <v>0.06</v>
      </c>
      <c r="W159" s="153">
        <v>0.02</v>
      </c>
      <c r="X159" s="153">
        <v>0.02</v>
      </c>
      <c r="Y159" s="128"/>
      <c r="Z159" s="168">
        <f t="shared" si="40"/>
        <v>0.1</v>
      </c>
      <c r="AB159" s="88">
        <f t="shared" si="39"/>
        <v>0</v>
      </c>
      <c r="AD159" s="298"/>
      <c r="AE159" s="298"/>
      <c r="AF159" s="298"/>
      <c r="AG159" s="298"/>
      <c r="AH159" s="298"/>
      <c r="AI159" s="298"/>
      <c r="AJ159" s="298">
        <f t="shared" si="32"/>
        <v>0</v>
      </c>
      <c r="AK159" s="298"/>
      <c r="AL159" s="298"/>
      <c r="AM159" s="301"/>
      <c r="AN159" s="301">
        <f t="shared" si="33"/>
        <v>0</v>
      </c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301"/>
    </row>
    <row r="160" spans="3:56" ht="12.75" hidden="1">
      <c r="C160" s="155"/>
      <c r="D160" s="203"/>
      <c r="E160" s="149"/>
      <c r="F160" s="150"/>
      <c r="G160" s="150"/>
      <c r="H160" s="262"/>
      <c r="I160" s="263"/>
      <c r="J160" s="152"/>
      <c r="K160" s="153"/>
      <c r="L160" s="200"/>
      <c r="M160" s="153"/>
      <c r="N160" s="153"/>
      <c r="O160" s="200"/>
      <c r="P160" s="153"/>
      <c r="Q160" s="153"/>
      <c r="R160" s="153"/>
      <c r="S160" s="153"/>
      <c r="T160" s="171"/>
      <c r="U160" s="154"/>
      <c r="V160" s="236">
        <f t="shared" si="34"/>
        <v>0</v>
      </c>
      <c r="W160" s="153"/>
      <c r="X160" s="153"/>
      <c r="Y160" s="128"/>
      <c r="Z160" s="168">
        <f t="shared" si="40"/>
        <v>0</v>
      </c>
      <c r="AB160" s="88">
        <f t="shared" si="39"/>
        <v>0</v>
      </c>
      <c r="AD160" s="298"/>
      <c r="AE160" s="298"/>
      <c r="AF160" s="298"/>
      <c r="AG160" s="298"/>
      <c r="AH160" s="298"/>
      <c r="AI160" s="298"/>
      <c r="AJ160" s="298">
        <f t="shared" si="32"/>
        <v>0</v>
      </c>
      <c r="AK160" s="298"/>
      <c r="AL160" s="298"/>
      <c r="AM160" s="301"/>
      <c r="AN160" s="301">
        <f t="shared" si="33"/>
        <v>0</v>
      </c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</row>
    <row r="161" spans="3:56" ht="12.75">
      <c r="C161" s="155" t="s">
        <v>107</v>
      </c>
      <c r="D161" s="203"/>
      <c r="E161" s="149"/>
      <c r="F161" s="150">
        <f>SUM(F162:F172)</f>
        <v>2.096</v>
      </c>
      <c r="G161" s="150"/>
      <c r="H161" s="262">
        <v>36892</v>
      </c>
      <c r="I161" s="263">
        <v>38047</v>
      </c>
      <c r="J161" s="152">
        <f aca="true" t="shared" si="41" ref="J161:X161">SUM(J162:J172)</f>
        <v>0.056999999999999995</v>
      </c>
      <c r="K161" s="153">
        <f t="shared" si="41"/>
        <v>0</v>
      </c>
      <c r="L161" s="153">
        <f t="shared" si="41"/>
        <v>0.053</v>
      </c>
      <c r="M161" s="153">
        <f t="shared" si="41"/>
        <v>0.113</v>
      </c>
      <c r="N161" s="153">
        <f t="shared" si="41"/>
        <v>0.015</v>
      </c>
      <c r="O161" s="200">
        <f>SUM(O162:O172)</f>
        <v>0.22399999999999998</v>
      </c>
      <c r="P161" s="153">
        <f>SUM(P162:P172)</f>
        <v>0.22399999999999998</v>
      </c>
      <c r="Q161" s="153">
        <f>SUM(Q162:Q172)</f>
        <v>0.35700000000000004</v>
      </c>
      <c r="R161" s="153">
        <f>SUM(R162:R172)</f>
        <v>0.324</v>
      </c>
      <c r="S161" s="153">
        <f>SUM(S162:S172)</f>
        <v>0.156</v>
      </c>
      <c r="T161" s="171">
        <f t="shared" si="37"/>
        <v>1.523</v>
      </c>
      <c r="U161" s="221">
        <f>SUM(U162:U172)</f>
        <v>0.9339999999999999</v>
      </c>
      <c r="V161" s="236">
        <f t="shared" si="34"/>
        <v>0.589</v>
      </c>
      <c r="W161" s="153">
        <f t="shared" si="41"/>
        <v>0.29100000000000004</v>
      </c>
      <c r="X161" s="153">
        <f t="shared" si="41"/>
        <v>0.28200000000000003</v>
      </c>
      <c r="Y161" s="128"/>
      <c r="Z161" s="168">
        <f t="shared" si="40"/>
        <v>2.096</v>
      </c>
      <c r="AB161" s="88">
        <f t="shared" si="39"/>
        <v>0</v>
      </c>
      <c r="AD161" s="298"/>
      <c r="AE161" s="298"/>
      <c r="AF161" s="298"/>
      <c r="AG161" s="298"/>
      <c r="AH161" s="298"/>
      <c r="AI161" s="298"/>
      <c r="AJ161" s="298">
        <f t="shared" si="32"/>
        <v>0</v>
      </c>
      <c r="AK161" s="298"/>
      <c r="AL161" s="298"/>
      <c r="AM161" s="301"/>
      <c r="AN161" s="301">
        <f t="shared" si="33"/>
        <v>0</v>
      </c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301"/>
    </row>
    <row r="162" spans="1:56" ht="12.75" hidden="1">
      <c r="A162" s="98" t="s">
        <v>323</v>
      </c>
      <c r="C162" s="261" t="s">
        <v>355</v>
      </c>
      <c r="D162" s="203" t="s">
        <v>323</v>
      </c>
      <c r="E162" s="149"/>
      <c r="F162" s="150">
        <v>0.037</v>
      </c>
      <c r="G162" s="150"/>
      <c r="H162" s="262">
        <v>36892</v>
      </c>
      <c r="I162" s="263">
        <v>37347</v>
      </c>
      <c r="J162" s="152">
        <v>0.037</v>
      </c>
      <c r="K162" s="153"/>
      <c r="L162" s="200"/>
      <c r="M162" s="153"/>
      <c r="N162" s="153"/>
      <c r="O162" s="200"/>
      <c r="P162" s="153"/>
      <c r="Q162" s="153"/>
      <c r="R162" s="153"/>
      <c r="S162" s="153"/>
      <c r="T162" s="171">
        <f t="shared" si="37"/>
        <v>0.037</v>
      </c>
      <c r="U162" s="153">
        <v>0.037</v>
      </c>
      <c r="V162" s="236">
        <f t="shared" si="34"/>
        <v>0</v>
      </c>
      <c r="W162" s="153"/>
      <c r="X162" s="153"/>
      <c r="Y162" s="128"/>
      <c r="Z162" s="168">
        <f t="shared" si="40"/>
        <v>0.037</v>
      </c>
      <c r="AB162" s="88">
        <f t="shared" si="39"/>
        <v>0</v>
      </c>
      <c r="AD162" s="298"/>
      <c r="AE162" s="298"/>
      <c r="AF162" s="298"/>
      <c r="AG162" s="298"/>
      <c r="AH162" s="298"/>
      <c r="AI162" s="298"/>
      <c r="AJ162" s="298">
        <f t="shared" si="32"/>
        <v>0</v>
      </c>
      <c r="AK162" s="298"/>
      <c r="AL162" s="298"/>
      <c r="AM162" s="301"/>
      <c r="AN162" s="301">
        <f t="shared" si="33"/>
        <v>0</v>
      </c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301"/>
      <c r="BD162" s="301"/>
    </row>
    <row r="163" spans="3:56" ht="12.75" hidden="1">
      <c r="C163" s="261" t="s">
        <v>483</v>
      </c>
      <c r="D163" s="203" t="s">
        <v>481</v>
      </c>
      <c r="E163" s="149"/>
      <c r="F163" s="150"/>
      <c r="G163" s="150"/>
      <c r="H163" s="262"/>
      <c r="I163" s="263"/>
      <c r="J163" s="152"/>
      <c r="K163" s="153"/>
      <c r="L163" s="200"/>
      <c r="M163" s="153"/>
      <c r="N163" s="153"/>
      <c r="O163" s="200"/>
      <c r="P163" s="200"/>
      <c r="Q163" s="200"/>
      <c r="R163" s="153"/>
      <c r="S163" s="153"/>
      <c r="T163" s="171"/>
      <c r="U163" s="153">
        <v>0.002</v>
      </c>
      <c r="V163" s="236">
        <f t="shared" si="34"/>
        <v>-0.002</v>
      </c>
      <c r="W163" s="153"/>
      <c r="X163" s="153"/>
      <c r="Y163" s="128"/>
      <c r="Z163" s="168"/>
      <c r="AB163" s="88">
        <f t="shared" si="39"/>
        <v>0</v>
      </c>
      <c r="AD163" s="298"/>
      <c r="AE163" s="298"/>
      <c r="AF163" s="298"/>
      <c r="AG163" s="298"/>
      <c r="AH163" s="298"/>
      <c r="AI163" s="298"/>
      <c r="AJ163" s="298">
        <f t="shared" si="32"/>
        <v>0</v>
      </c>
      <c r="AK163" s="298"/>
      <c r="AL163" s="298"/>
      <c r="AM163" s="301"/>
      <c r="AN163" s="301">
        <f t="shared" si="33"/>
        <v>0</v>
      </c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301"/>
    </row>
    <row r="164" spans="3:56" ht="12.75" hidden="1">
      <c r="C164" s="261" t="s">
        <v>484</v>
      </c>
      <c r="D164" s="203" t="s">
        <v>482</v>
      </c>
      <c r="E164" s="149"/>
      <c r="F164" s="150"/>
      <c r="G164" s="150"/>
      <c r="H164" s="262"/>
      <c r="I164" s="263"/>
      <c r="J164" s="152"/>
      <c r="K164" s="153"/>
      <c r="L164" s="200"/>
      <c r="M164" s="153"/>
      <c r="N164" s="153"/>
      <c r="O164" s="200"/>
      <c r="P164" s="200"/>
      <c r="Q164" s="200"/>
      <c r="R164" s="153"/>
      <c r="S164" s="153"/>
      <c r="T164" s="171"/>
      <c r="U164" s="153">
        <v>0.009</v>
      </c>
      <c r="V164" s="236">
        <f t="shared" si="34"/>
        <v>-0.009</v>
      </c>
      <c r="W164" s="153"/>
      <c r="X164" s="153"/>
      <c r="Y164" s="128"/>
      <c r="Z164" s="168"/>
      <c r="AB164" s="88">
        <f t="shared" si="39"/>
        <v>0</v>
      </c>
      <c r="AD164" s="298"/>
      <c r="AE164" s="298"/>
      <c r="AF164" s="298"/>
      <c r="AG164" s="298"/>
      <c r="AH164" s="298"/>
      <c r="AI164" s="298"/>
      <c r="AJ164" s="298">
        <f t="shared" si="32"/>
        <v>0</v>
      </c>
      <c r="AK164" s="298"/>
      <c r="AL164" s="298"/>
      <c r="AM164" s="301"/>
      <c r="AN164" s="301">
        <f t="shared" si="33"/>
        <v>0</v>
      </c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</row>
    <row r="165" spans="1:56" ht="12.75" hidden="1">
      <c r="A165" s="98" t="s">
        <v>324</v>
      </c>
      <c r="C165" s="261" t="s">
        <v>356</v>
      </c>
      <c r="D165" s="203" t="s">
        <v>324</v>
      </c>
      <c r="E165" s="149"/>
      <c r="F165" s="150">
        <v>0.036</v>
      </c>
      <c r="G165" s="150"/>
      <c r="H165" s="262">
        <v>37834</v>
      </c>
      <c r="I165" s="263">
        <v>37956</v>
      </c>
      <c r="J165" s="152"/>
      <c r="K165" s="153"/>
      <c r="L165" s="200"/>
      <c r="M165" s="153"/>
      <c r="N165" s="153">
        <v>0.01</v>
      </c>
      <c r="O165" s="200">
        <v>0.007</v>
      </c>
      <c r="P165" s="200">
        <v>0.007</v>
      </c>
      <c r="Q165" s="200">
        <v>0.007</v>
      </c>
      <c r="R165" s="153">
        <v>0.005</v>
      </c>
      <c r="S165" s="153"/>
      <c r="T165" s="171">
        <f t="shared" si="37"/>
        <v>0.036</v>
      </c>
      <c r="U165" s="153">
        <v>0.01</v>
      </c>
      <c r="V165" s="236">
        <f t="shared" si="34"/>
        <v>0.025999999999999995</v>
      </c>
      <c r="W165" s="153"/>
      <c r="X165" s="153"/>
      <c r="Y165" s="128"/>
      <c r="Z165" s="168">
        <f t="shared" si="40"/>
        <v>0.036</v>
      </c>
      <c r="AB165" s="88">
        <f t="shared" si="39"/>
        <v>0</v>
      </c>
      <c r="AD165" s="298"/>
      <c r="AE165" s="298"/>
      <c r="AF165" s="298"/>
      <c r="AG165" s="298"/>
      <c r="AH165" s="298"/>
      <c r="AI165" s="298"/>
      <c r="AJ165" s="298">
        <f t="shared" si="32"/>
        <v>0</v>
      </c>
      <c r="AK165" s="298"/>
      <c r="AL165" s="298"/>
      <c r="AM165" s="301"/>
      <c r="AN165" s="301">
        <f t="shared" si="33"/>
        <v>0</v>
      </c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</row>
    <row r="166" spans="1:56" ht="12.75" hidden="1">
      <c r="A166" s="98" t="s">
        <v>325</v>
      </c>
      <c r="C166" s="261" t="s">
        <v>357</v>
      </c>
      <c r="D166" s="203" t="s">
        <v>325</v>
      </c>
      <c r="E166" s="149"/>
      <c r="F166" s="150">
        <v>0.02</v>
      </c>
      <c r="G166" s="150"/>
      <c r="H166" s="262">
        <v>37712</v>
      </c>
      <c r="I166" s="263">
        <v>38047</v>
      </c>
      <c r="J166" s="152"/>
      <c r="K166" s="153"/>
      <c r="L166" s="200"/>
      <c r="M166" s="153"/>
      <c r="N166" s="153"/>
      <c r="O166" s="200">
        <v>0.002</v>
      </c>
      <c r="P166" s="153">
        <v>0.002</v>
      </c>
      <c r="Q166" s="153">
        <v>0.002</v>
      </c>
      <c r="R166" s="153">
        <v>0.005</v>
      </c>
      <c r="S166" s="153">
        <v>0.002</v>
      </c>
      <c r="T166" s="171">
        <f t="shared" si="37"/>
        <v>0.013</v>
      </c>
      <c r="U166" s="153">
        <v>0</v>
      </c>
      <c r="V166" s="236">
        <f t="shared" si="34"/>
        <v>0.013</v>
      </c>
      <c r="W166" s="153">
        <v>0.004</v>
      </c>
      <c r="X166" s="153">
        <v>0.003</v>
      </c>
      <c r="Y166" s="128"/>
      <c r="Z166" s="168">
        <f t="shared" si="40"/>
        <v>0.02</v>
      </c>
      <c r="AB166" s="88">
        <f t="shared" si="39"/>
        <v>0</v>
      </c>
      <c r="AD166" s="298"/>
      <c r="AE166" s="298"/>
      <c r="AF166" s="298"/>
      <c r="AG166" s="298"/>
      <c r="AH166" s="298"/>
      <c r="AI166" s="298"/>
      <c r="AJ166" s="298">
        <f t="shared" si="32"/>
        <v>0</v>
      </c>
      <c r="AK166" s="298"/>
      <c r="AL166" s="298"/>
      <c r="AM166" s="301"/>
      <c r="AN166" s="301">
        <f t="shared" si="33"/>
        <v>0</v>
      </c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</row>
    <row r="167" spans="1:56" ht="12.75" hidden="1">
      <c r="A167" s="98" t="s">
        <v>326</v>
      </c>
      <c r="C167" s="260" t="s">
        <v>358</v>
      </c>
      <c r="D167" s="203" t="s">
        <v>326</v>
      </c>
      <c r="E167" s="149"/>
      <c r="F167" s="150">
        <v>0.25</v>
      </c>
      <c r="G167" s="150"/>
      <c r="H167" s="262">
        <v>37987</v>
      </c>
      <c r="I167" s="263">
        <v>38047</v>
      </c>
      <c r="J167" s="152"/>
      <c r="K167" s="153"/>
      <c r="L167" s="200"/>
      <c r="M167" s="153"/>
      <c r="N167" s="153"/>
      <c r="O167" s="200"/>
      <c r="P167" s="153"/>
      <c r="Q167" s="153"/>
      <c r="R167" s="153"/>
      <c r="S167" s="153"/>
      <c r="T167" s="171">
        <f t="shared" si="37"/>
        <v>0</v>
      </c>
      <c r="U167" s="153">
        <v>0.011</v>
      </c>
      <c r="V167" s="236">
        <f t="shared" si="34"/>
        <v>-0.011</v>
      </c>
      <c r="W167" s="153">
        <v>0.125</v>
      </c>
      <c r="X167" s="153">
        <v>0.125</v>
      </c>
      <c r="Y167" s="128"/>
      <c r="Z167" s="168">
        <f t="shared" si="40"/>
        <v>0.25</v>
      </c>
      <c r="AB167" s="88">
        <f t="shared" si="39"/>
        <v>0</v>
      </c>
      <c r="AD167" s="298"/>
      <c r="AE167" s="298"/>
      <c r="AF167" s="298"/>
      <c r="AG167" s="298"/>
      <c r="AH167" s="298"/>
      <c r="AI167" s="298"/>
      <c r="AJ167" s="298">
        <f t="shared" si="32"/>
        <v>0</v>
      </c>
      <c r="AK167" s="298"/>
      <c r="AL167" s="298"/>
      <c r="AM167" s="301"/>
      <c r="AN167" s="301">
        <f t="shared" si="33"/>
        <v>0</v>
      </c>
      <c r="AP167" s="301"/>
      <c r="AQ167" s="301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301"/>
      <c r="BD167" s="301"/>
    </row>
    <row r="168" spans="1:56" ht="12.75" hidden="1">
      <c r="A168" s="98" t="s">
        <v>327</v>
      </c>
      <c r="C168" s="261" t="s">
        <v>359</v>
      </c>
      <c r="D168" s="203" t="s">
        <v>327</v>
      </c>
      <c r="E168" s="149"/>
      <c r="F168" s="150">
        <v>0.02</v>
      </c>
      <c r="G168" s="150"/>
      <c r="H168" s="262">
        <v>37288</v>
      </c>
      <c r="I168" s="263">
        <v>37408</v>
      </c>
      <c r="J168" s="152">
        <v>0.02</v>
      </c>
      <c r="K168" s="153"/>
      <c r="L168" s="200"/>
      <c r="M168" s="153"/>
      <c r="N168" s="153"/>
      <c r="O168" s="200"/>
      <c r="P168" s="153"/>
      <c r="Q168" s="153"/>
      <c r="R168" s="153"/>
      <c r="S168" s="153"/>
      <c r="T168" s="171">
        <f t="shared" si="37"/>
        <v>0.02</v>
      </c>
      <c r="U168" s="153">
        <v>0.004</v>
      </c>
      <c r="V168" s="236">
        <f t="shared" si="34"/>
        <v>0.016</v>
      </c>
      <c r="W168" s="153"/>
      <c r="X168" s="153"/>
      <c r="Y168" s="128"/>
      <c r="Z168" s="168">
        <f t="shared" si="40"/>
        <v>0.02</v>
      </c>
      <c r="AB168" s="88">
        <f t="shared" si="39"/>
        <v>0</v>
      </c>
      <c r="AD168" s="298"/>
      <c r="AE168" s="298"/>
      <c r="AF168" s="298"/>
      <c r="AG168" s="298"/>
      <c r="AH168" s="298"/>
      <c r="AI168" s="298"/>
      <c r="AJ168" s="298">
        <f t="shared" si="32"/>
        <v>0</v>
      </c>
      <c r="AK168" s="298"/>
      <c r="AL168" s="298"/>
      <c r="AM168" s="301"/>
      <c r="AN168" s="301">
        <f t="shared" si="33"/>
        <v>0</v>
      </c>
      <c r="AP168" s="301"/>
      <c r="AQ168" s="301"/>
      <c r="AR168" s="301"/>
      <c r="AS168" s="301"/>
      <c r="AT168" s="301"/>
      <c r="AU168" s="301"/>
      <c r="AV168" s="301"/>
      <c r="AW168" s="301"/>
      <c r="AX168" s="301"/>
      <c r="AY168" s="301"/>
      <c r="AZ168" s="301"/>
      <c r="BA168" s="301"/>
      <c r="BB168" s="301"/>
      <c r="BC168" s="301"/>
      <c r="BD168" s="301"/>
    </row>
    <row r="169" spans="1:56" ht="12.75" hidden="1">
      <c r="A169" s="98" t="s">
        <v>328</v>
      </c>
      <c r="C169" s="261" t="s">
        <v>360</v>
      </c>
      <c r="D169" s="203" t="s">
        <v>328</v>
      </c>
      <c r="E169" s="149"/>
      <c r="F169" s="150">
        <v>0.605</v>
      </c>
      <c r="G169" s="150"/>
      <c r="H169" s="265">
        <v>37622</v>
      </c>
      <c r="I169" s="266">
        <v>37834</v>
      </c>
      <c r="J169" s="152"/>
      <c r="K169" s="153"/>
      <c r="L169" s="153">
        <v>0.053</v>
      </c>
      <c r="M169" s="153">
        <v>0.113</v>
      </c>
      <c r="N169" s="153">
        <v>0.002</v>
      </c>
      <c r="O169" s="200">
        <v>0.109</v>
      </c>
      <c r="P169" s="153">
        <v>0.109</v>
      </c>
      <c r="Q169" s="153">
        <v>0.109</v>
      </c>
      <c r="R169" s="153">
        <v>0.11</v>
      </c>
      <c r="S169" s="153"/>
      <c r="T169" s="171">
        <f t="shared" si="37"/>
        <v>0.605</v>
      </c>
      <c r="U169" s="153">
        <v>0.42</v>
      </c>
      <c r="V169" s="236">
        <f t="shared" si="34"/>
        <v>0.185</v>
      </c>
      <c r="W169" s="153"/>
      <c r="X169" s="153"/>
      <c r="Y169" s="128"/>
      <c r="Z169" s="168">
        <f t="shared" si="40"/>
        <v>0.605</v>
      </c>
      <c r="AB169" s="88">
        <f t="shared" si="39"/>
        <v>0</v>
      </c>
      <c r="AD169" s="298"/>
      <c r="AE169" s="298"/>
      <c r="AF169" s="298"/>
      <c r="AG169" s="298"/>
      <c r="AH169" s="298"/>
      <c r="AI169" s="298"/>
      <c r="AJ169" s="298">
        <f t="shared" si="32"/>
        <v>0</v>
      </c>
      <c r="AK169" s="298"/>
      <c r="AL169" s="298"/>
      <c r="AM169" s="301"/>
      <c r="AN169" s="301">
        <f t="shared" si="33"/>
        <v>0</v>
      </c>
      <c r="AP169" s="301"/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301"/>
      <c r="BB169" s="301"/>
      <c r="BC169" s="301"/>
      <c r="BD169" s="301"/>
    </row>
    <row r="170" spans="1:56" ht="12.75" hidden="1">
      <c r="A170" s="98" t="s">
        <v>329</v>
      </c>
      <c r="C170" s="261" t="s">
        <v>363</v>
      </c>
      <c r="D170" s="203" t="s">
        <v>329</v>
      </c>
      <c r="E170" s="149"/>
      <c r="F170" s="150">
        <v>0.358</v>
      </c>
      <c r="G170" s="150"/>
      <c r="H170" s="265">
        <v>37622</v>
      </c>
      <c r="I170" s="263">
        <v>37803</v>
      </c>
      <c r="J170" s="98"/>
      <c r="K170" s="98"/>
      <c r="L170" s="98"/>
      <c r="M170" s="98"/>
      <c r="N170" s="153">
        <v>0.003</v>
      </c>
      <c r="O170" s="200">
        <v>0.106</v>
      </c>
      <c r="P170" s="153">
        <v>0.106</v>
      </c>
      <c r="Q170" s="200">
        <v>0.085</v>
      </c>
      <c r="R170" s="153">
        <v>0.05</v>
      </c>
      <c r="S170" s="153"/>
      <c r="T170" s="171">
        <f t="shared" si="37"/>
        <v>0.35</v>
      </c>
      <c r="U170" s="153">
        <v>0.36</v>
      </c>
      <c r="V170" s="236">
        <f t="shared" si="34"/>
        <v>-0.010000000000000009</v>
      </c>
      <c r="W170" s="153">
        <v>0.008</v>
      </c>
      <c r="X170" s="153"/>
      <c r="Y170" s="128"/>
      <c r="Z170" s="168">
        <f t="shared" si="40"/>
        <v>0.358</v>
      </c>
      <c r="AB170" s="88">
        <f t="shared" si="39"/>
        <v>0</v>
      </c>
      <c r="AD170" s="298"/>
      <c r="AE170" s="298"/>
      <c r="AF170" s="298"/>
      <c r="AG170" s="298"/>
      <c r="AH170" s="298"/>
      <c r="AI170" s="298"/>
      <c r="AJ170" s="298">
        <f t="shared" si="32"/>
        <v>0</v>
      </c>
      <c r="AK170" s="298"/>
      <c r="AL170" s="298"/>
      <c r="AM170" s="301"/>
      <c r="AN170" s="301">
        <f t="shared" si="33"/>
        <v>0</v>
      </c>
      <c r="AP170" s="301"/>
      <c r="AQ170" s="301"/>
      <c r="AR170" s="301"/>
      <c r="AS170" s="301"/>
      <c r="AT170" s="301"/>
      <c r="AU170" s="301"/>
      <c r="AV170" s="301"/>
      <c r="AW170" s="301"/>
      <c r="AX170" s="301"/>
      <c r="AY170" s="301"/>
      <c r="AZ170" s="301"/>
      <c r="BA170" s="301"/>
      <c r="BB170" s="301"/>
      <c r="BC170" s="301"/>
      <c r="BD170" s="301"/>
    </row>
    <row r="171" spans="1:56" ht="12.75" hidden="1">
      <c r="A171" s="98" t="s">
        <v>330</v>
      </c>
      <c r="C171" s="261" t="s">
        <v>361</v>
      </c>
      <c r="D171" s="203" t="s">
        <v>330</v>
      </c>
      <c r="E171" s="149"/>
      <c r="F171" s="150">
        <v>0.5</v>
      </c>
      <c r="G171" s="150"/>
      <c r="H171" s="262">
        <v>37895</v>
      </c>
      <c r="I171" s="263">
        <v>38047</v>
      </c>
      <c r="J171" s="152"/>
      <c r="K171" s="153"/>
      <c r="L171" s="200"/>
      <c r="M171" s="153"/>
      <c r="N171" s="153"/>
      <c r="O171" s="200"/>
      <c r="P171" s="153"/>
      <c r="Q171" s="153">
        <v>0.1</v>
      </c>
      <c r="R171" s="153">
        <v>0.1</v>
      </c>
      <c r="S171" s="153">
        <v>0.1</v>
      </c>
      <c r="T171" s="171">
        <f t="shared" si="37"/>
        <v>0.30000000000000004</v>
      </c>
      <c r="U171" s="153">
        <v>0.081</v>
      </c>
      <c r="V171" s="236">
        <f t="shared" si="34"/>
        <v>0.21900000000000003</v>
      </c>
      <c r="W171" s="153">
        <v>0.1</v>
      </c>
      <c r="X171" s="153">
        <v>0.1</v>
      </c>
      <c r="Y171" s="128"/>
      <c r="Z171" s="168">
        <f t="shared" si="40"/>
        <v>0.5</v>
      </c>
      <c r="AB171" s="88">
        <f t="shared" si="39"/>
        <v>0</v>
      </c>
      <c r="AD171" s="298"/>
      <c r="AE171" s="298"/>
      <c r="AF171" s="298"/>
      <c r="AG171" s="298"/>
      <c r="AH171" s="298"/>
      <c r="AI171" s="298"/>
      <c r="AJ171" s="298">
        <f t="shared" si="32"/>
        <v>0</v>
      </c>
      <c r="AK171" s="298"/>
      <c r="AL171" s="298"/>
      <c r="AM171" s="301"/>
      <c r="AN171" s="301">
        <f t="shared" si="33"/>
        <v>0</v>
      </c>
      <c r="AP171" s="301"/>
      <c r="AQ171" s="301"/>
      <c r="AR171" s="301"/>
      <c r="AS171" s="301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D171" s="301"/>
    </row>
    <row r="172" spans="1:56" ht="12.75" hidden="1">
      <c r="A172" s="98" t="s">
        <v>331</v>
      </c>
      <c r="C172" s="261" t="s">
        <v>362</v>
      </c>
      <c r="D172" s="203" t="s">
        <v>331</v>
      </c>
      <c r="E172" s="149"/>
      <c r="F172" s="150">
        <v>0.27</v>
      </c>
      <c r="G172" s="150"/>
      <c r="H172" s="262">
        <v>37895</v>
      </c>
      <c r="I172" s="263">
        <v>38047</v>
      </c>
      <c r="J172" s="152"/>
      <c r="K172" s="153"/>
      <c r="L172" s="200"/>
      <c r="M172" s="153"/>
      <c r="N172" s="153"/>
      <c r="O172" s="200"/>
      <c r="P172" s="153"/>
      <c r="Q172" s="153">
        <v>0.054</v>
      </c>
      <c r="R172" s="153">
        <v>0.054</v>
      </c>
      <c r="S172" s="153">
        <v>0.054</v>
      </c>
      <c r="T172" s="171">
        <f t="shared" si="37"/>
        <v>0.162</v>
      </c>
      <c r="U172" s="153">
        <v>0</v>
      </c>
      <c r="V172" s="236">
        <f t="shared" si="34"/>
        <v>0.162</v>
      </c>
      <c r="W172" s="153">
        <v>0.054</v>
      </c>
      <c r="X172" s="153">
        <v>0.054</v>
      </c>
      <c r="Y172" s="128"/>
      <c r="Z172" s="168">
        <f t="shared" si="40"/>
        <v>0.27</v>
      </c>
      <c r="AB172" s="88">
        <f t="shared" si="39"/>
        <v>0</v>
      </c>
      <c r="AD172" s="298"/>
      <c r="AE172" s="298"/>
      <c r="AF172" s="298"/>
      <c r="AG172" s="298"/>
      <c r="AH172" s="298"/>
      <c r="AI172" s="298"/>
      <c r="AJ172" s="298">
        <f t="shared" si="32"/>
        <v>0</v>
      </c>
      <c r="AK172" s="298"/>
      <c r="AL172" s="298"/>
      <c r="AM172" s="301"/>
      <c r="AN172" s="301">
        <f t="shared" si="33"/>
        <v>0</v>
      </c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</row>
    <row r="173" spans="3:56" ht="12.75" hidden="1">
      <c r="C173" s="155"/>
      <c r="D173" s="203"/>
      <c r="E173" s="149"/>
      <c r="F173" s="150"/>
      <c r="G173" s="150"/>
      <c r="H173" s="262"/>
      <c r="I173" s="263"/>
      <c r="J173" s="152"/>
      <c r="K173" s="153"/>
      <c r="L173" s="200"/>
      <c r="M173" s="153"/>
      <c r="N173" s="153"/>
      <c r="O173" s="200"/>
      <c r="P173" s="153"/>
      <c r="Q173" s="153"/>
      <c r="R173" s="153"/>
      <c r="S173" s="153"/>
      <c r="T173" s="171">
        <f t="shared" si="37"/>
        <v>0</v>
      </c>
      <c r="U173" s="154"/>
      <c r="V173" s="236">
        <f t="shared" si="34"/>
        <v>0</v>
      </c>
      <c r="W173" s="153"/>
      <c r="X173" s="153"/>
      <c r="Y173" s="128"/>
      <c r="Z173" s="168">
        <f t="shared" si="40"/>
        <v>0</v>
      </c>
      <c r="AB173" s="88">
        <f t="shared" si="39"/>
        <v>0</v>
      </c>
      <c r="AD173" s="298"/>
      <c r="AE173" s="298"/>
      <c r="AF173" s="298"/>
      <c r="AG173" s="298"/>
      <c r="AH173" s="298"/>
      <c r="AI173" s="298"/>
      <c r="AJ173" s="298">
        <f t="shared" si="32"/>
        <v>0</v>
      </c>
      <c r="AK173" s="298"/>
      <c r="AL173" s="298"/>
      <c r="AM173" s="301"/>
      <c r="AN173" s="301">
        <f t="shared" si="33"/>
        <v>0</v>
      </c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</row>
    <row r="174" spans="3:56" ht="12.75">
      <c r="C174" s="155" t="s">
        <v>194</v>
      </c>
      <c r="D174" s="203"/>
      <c r="E174" s="149"/>
      <c r="F174" s="150">
        <f>SUM(F175:F178)</f>
        <v>0.436</v>
      </c>
      <c r="G174" s="150"/>
      <c r="H174" s="262">
        <v>35916</v>
      </c>
      <c r="I174" s="263">
        <v>38139</v>
      </c>
      <c r="J174" s="152">
        <f aca="true" t="shared" si="42" ref="J174:X174">SUM(J175:J178)</f>
        <v>0.004</v>
      </c>
      <c r="K174" s="153">
        <f t="shared" si="42"/>
        <v>0</v>
      </c>
      <c r="L174" s="153">
        <f t="shared" si="42"/>
        <v>0</v>
      </c>
      <c r="M174" s="153">
        <f t="shared" si="42"/>
        <v>0</v>
      </c>
      <c r="N174" s="153">
        <f t="shared" si="42"/>
        <v>0.004</v>
      </c>
      <c r="O174" s="150">
        <f>SUM(O175:O178)</f>
        <v>0.03</v>
      </c>
      <c r="P174" s="153">
        <f>SUM(P175:P178)</f>
        <v>0.03</v>
      </c>
      <c r="Q174" s="153">
        <f>SUM(Q175:Q178)</f>
        <v>0.091</v>
      </c>
      <c r="R174" s="153">
        <f>SUM(R175:R178)</f>
        <v>0.063</v>
      </c>
      <c r="S174" s="153">
        <f>SUM(S175:S178)</f>
        <v>0.087</v>
      </c>
      <c r="T174" s="171">
        <f t="shared" si="37"/>
        <v>0.309</v>
      </c>
      <c r="U174" s="154">
        <f>SUM(U175:U178)</f>
        <v>0.1</v>
      </c>
      <c r="V174" s="236">
        <f t="shared" si="34"/>
        <v>0.209</v>
      </c>
      <c r="W174" s="153">
        <f t="shared" si="42"/>
        <v>0.064</v>
      </c>
      <c r="X174" s="153">
        <f t="shared" si="42"/>
        <v>0.063</v>
      </c>
      <c r="Y174" s="128"/>
      <c r="Z174" s="168">
        <f t="shared" si="40"/>
        <v>0.436</v>
      </c>
      <c r="AB174" s="88">
        <f t="shared" si="39"/>
        <v>0</v>
      </c>
      <c r="AD174" s="298"/>
      <c r="AE174" s="298"/>
      <c r="AF174" s="298"/>
      <c r="AG174" s="298"/>
      <c r="AH174" s="298"/>
      <c r="AI174" s="298"/>
      <c r="AJ174" s="298">
        <f t="shared" si="32"/>
        <v>0</v>
      </c>
      <c r="AK174" s="298"/>
      <c r="AL174" s="298"/>
      <c r="AM174" s="301"/>
      <c r="AN174" s="301">
        <f t="shared" si="33"/>
        <v>0</v>
      </c>
      <c r="AP174" s="301"/>
      <c r="AQ174" s="301"/>
      <c r="AR174" s="301"/>
      <c r="AS174" s="301"/>
      <c r="AT174" s="301"/>
      <c r="AU174" s="301"/>
      <c r="AV174" s="301"/>
      <c r="AW174" s="301"/>
      <c r="AX174" s="301"/>
      <c r="AY174" s="301"/>
      <c r="AZ174" s="301"/>
      <c r="BA174" s="301"/>
      <c r="BB174" s="301"/>
      <c r="BC174" s="301"/>
      <c r="BD174" s="301"/>
    </row>
    <row r="175" spans="1:56" ht="12.75" hidden="1">
      <c r="A175" s="98" t="s">
        <v>332</v>
      </c>
      <c r="C175" s="261" t="s">
        <v>364</v>
      </c>
      <c r="D175" s="203" t="s">
        <v>332</v>
      </c>
      <c r="E175" s="149"/>
      <c r="F175" s="150">
        <v>0.315</v>
      </c>
      <c r="G175" s="150"/>
      <c r="H175" s="262">
        <v>37926</v>
      </c>
      <c r="I175" s="263">
        <v>38139</v>
      </c>
      <c r="J175" s="152"/>
      <c r="K175" s="153"/>
      <c r="L175" s="200"/>
      <c r="M175" s="153"/>
      <c r="N175" s="153">
        <v>0.002</v>
      </c>
      <c r="O175" s="200"/>
      <c r="P175" s="153"/>
      <c r="Q175" s="153">
        <v>0.061</v>
      </c>
      <c r="R175" s="153">
        <v>0.063</v>
      </c>
      <c r="S175" s="153">
        <v>0.063</v>
      </c>
      <c r="T175" s="171">
        <f t="shared" si="37"/>
        <v>0.189</v>
      </c>
      <c r="U175" s="153">
        <v>0.016</v>
      </c>
      <c r="V175" s="236">
        <f t="shared" si="34"/>
        <v>0.173</v>
      </c>
      <c r="W175" s="153">
        <v>0.063</v>
      </c>
      <c r="X175" s="153">
        <v>0.063</v>
      </c>
      <c r="Y175" s="128"/>
      <c r="Z175" s="168">
        <f t="shared" si="40"/>
        <v>0.315</v>
      </c>
      <c r="AB175" s="88">
        <f t="shared" si="39"/>
        <v>0</v>
      </c>
      <c r="AD175" s="298"/>
      <c r="AE175" s="298"/>
      <c r="AF175" s="298"/>
      <c r="AG175" s="298"/>
      <c r="AH175" s="298"/>
      <c r="AI175" s="298"/>
      <c r="AJ175" s="298">
        <f t="shared" si="32"/>
        <v>0</v>
      </c>
      <c r="AK175" s="298"/>
      <c r="AL175" s="298"/>
      <c r="AM175" s="301"/>
      <c r="AN175" s="301">
        <f t="shared" si="33"/>
        <v>0</v>
      </c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</row>
    <row r="176" spans="1:56" ht="12.75" hidden="1">
      <c r="A176" s="98" t="s">
        <v>446</v>
      </c>
      <c r="C176" s="261" t="s">
        <v>449</v>
      </c>
      <c r="D176" s="203"/>
      <c r="E176" s="149"/>
      <c r="F176" s="150">
        <v>0.001</v>
      </c>
      <c r="G176" s="150"/>
      <c r="H176" s="262"/>
      <c r="I176" s="263"/>
      <c r="J176" s="150">
        <v>0.001</v>
      </c>
      <c r="K176" s="153"/>
      <c r="L176" s="200"/>
      <c r="M176" s="153"/>
      <c r="N176" s="153"/>
      <c r="O176" s="200"/>
      <c r="P176" s="153"/>
      <c r="Q176" s="153"/>
      <c r="R176" s="153"/>
      <c r="S176" s="153"/>
      <c r="T176" s="171">
        <f t="shared" si="37"/>
        <v>0.001</v>
      </c>
      <c r="U176" s="153">
        <v>0.003</v>
      </c>
      <c r="V176" s="236">
        <f t="shared" si="34"/>
        <v>-0.002</v>
      </c>
      <c r="W176" s="153"/>
      <c r="X176" s="153"/>
      <c r="Y176" s="128"/>
      <c r="Z176" s="168">
        <f t="shared" si="40"/>
        <v>0.001</v>
      </c>
      <c r="AB176" s="88">
        <f t="shared" si="39"/>
        <v>0</v>
      </c>
      <c r="AD176" s="298"/>
      <c r="AE176" s="298"/>
      <c r="AF176" s="298"/>
      <c r="AG176" s="298"/>
      <c r="AH176" s="298"/>
      <c r="AI176" s="298"/>
      <c r="AJ176" s="298">
        <f t="shared" si="32"/>
        <v>0</v>
      </c>
      <c r="AK176" s="298"/>
      <c r="AL176" s="298"/>
      <c r="AM176" s="301"/>
      <c r="AN176" s="301">
        <f t="shared" si="33"/>
        <v>0</v>
      </c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</row>
    <row r="177" spans="1:56" ht="12.75" hidden="1">
      <c r="A177" s="98" t="s">
        <v>447</v>
      </c>
      <c r="C177" s="261" t="s">
        <v>448</v>
      </c>
      <c r="D177" s="203" t="s">
        <v>447</v>
      </c>
      <c r="E177" s="149"/>
      <c r="F177" s="150">
        <v>0.003</v>
      </c>
      <c r="G177" s="150"/>
      <c r="H177" s="262"/>
      <c r="I177" s="263"/>
      <c r="J177" s="150">
        <v>0.003</v>
      </c>
      <c r="K177" s="153"/>
      <c r="L177" s="200"/>
      <c r="M177" s="153"/>
      <c r="N177" s="153"/>
      <c r="O177" s="200"/>
      <c r="P177" s="153"/>
      <c r="Q177" s="153"/>
      <c r="R177" s="153"/>
      <c r="S177" s="153"/>
      <c r="T177" s="171">
        <f t="shared" si="37"/>
        <v>0.003</v>
      </c>
      <c r="U177" s="153">
        <v>0.004</v>
      </c>
      <c r="V177" s="236">
        <f t="shared" si="34"/>
        <v>-0.001</v>
      </c>
      <c r="W177" s="153"/>
      <c r="X177" s="153"/>
      <c r="Y177" s="128"/>
      <c r="Z177" s="168">
        <f t="shared" si="40"/>
        <v>0.003</v>
      </c>
      <c r="AB177" s="88">
        <f t="shared" si="39"/>
        <v>0</v>
      </c>
      <c r="AD177" s="298"/>
      <c r="AE177" s="298"/>
      <c r="AF177" s="298"/>
      <c r="AG177" s="298"/>
      <c r="AH177" s="298"/>
      <c r="AI177" s="298"/>
      <c r="AJ177" s="298">
        <f t="shared" si="32"/>
        <v>0</v>
      </c>
      <c r="AK177" s="298"/>
      <c r="AL177" s="298"/>
      <c r="AM177" s="301"/>
      <c r="AN177" s="301">
        <f t="shared" si="33"/>
        <v>0</v>
      </c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</row>
    <row r="178" spans="1:56" ht="12.75" hidden="1">
      <c r="A178" s="98" t="s">
        <v>333</v>
      </c>
      <c r="C178" s="261" t="s">
        <v>365</v>
      </c>
      <c r="D178" s="203" t="s">
        <v>333</v>
      </c>
      <c r="E178" s="149"/>
      <c r="F178" s="150">
        <v>0.117</v>
      </c>
      <c r="G178" s="150"/>
      <c r="H178" s="262">
        <v>37834</v>
      </c>
      <c r="I178" s="263">
        <v>37956</v>
      </c>
      <c r="J178" s="152"/>
      <c r="K178" s="153"/>
      <c r="L178" s="200"/>
      <c r="M178" s="153"/>
      <c r="N178" s="153">
        <v>0.002</v>
      </c>
      <c r="O178" s="200">
        <v>0.03</v>
      </c>
      <c r="P178" s="153">
        <v>0.03</v>
      </c>
      <c r="Q178" s="153">
        <v>0.03</v>
      </c>
      <c r="R178" s="153"/>
      <c r="S178" s="153">
        <v>0.024</v>
      </c>
      <c r="T178" s="171">
        <f t="shared" si="37"/>
        <v>0.11599999999999999</v>
      </c>
      <c r="U178" s="153">
        <v>0.077</v>
      </c>
      <c r="V178" s="236">
        <f t="shared" si="34"/>
        <v>0.03899999999999999</v>
      </c>
      <c r="W178" s="153">
        <v>0.001</v>
      </c>
      <c r="X178" s="153"/>
      <c r="Y178" s="128"/>
      <c r="Z178" s="168">
        <f t="shared" si="40"/>
        <v>0.11699999999999999</v>
      </c>
      <c r="AB178" s="88">
        <f t="shared" si="39"/>
        <v>0</v>
      </c>
      <c r="AD178" s="298"/>
      <c r="AE178" s="298"/>
      <c r="AF178" s="298"/>
      <c r="AG178" s="298"/>
      <c r="AH178" s="298"/>
      <c r="AI178" s="298"/>
      <c r="AJ178" s="298">
        <f t="shared" si="32"/>
        <v>0</v>
      </c>
      <c r="AK178" s="298"/>
      <c r="AL178" s="298"/>
      <c r="AM178" s="301"/>
      <c r="AN178" s="301">
        <f t="shared" si="33"/>
        <v>0</v>
      </c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</row>
    <row r="179" spans="3:56" ht="12.75" hidden="1">
      <c r="C179" s="155"/>
      <c r="D179" s="203"/>
      <c r="E179" s="149"/>
      <c r="F179" s="150"/>
      <c r="G179" s="150"/>
      <c r="H179" s="262"/>
      <c r="I179" s="263"/>
      <c r="J179" s="152"/>
      <c r="K179" s="153"/>
      <c r="L179" s="200"/>
      <c r="M179" s="153"/>
      <c r="N179" s="153"/>
      <c r="O179" s="200"/>
      <c r="P179" s="153"/>
      <c r="Q179" s="153"/>
      <c r="R179" s="153"/>
      <c r="S179" s="153"/>
      <c r="T179" s="171">
        <f t="shared" si="37"/>
        <v>0</v>
      </c>
      <c r="U179" s="154"/>
      <c r="V179" s="236">
        <f t="shared" si="34"/>
        <v>0</v>
      </c>
      <c r="W179" s="153"/>
      <c r="X179" s="153"/>
      <c r="Y179" s="128"/>
      <c r="Z179" s="168">
        <f t="shared" si="40"/>
        <v>0</v>
      </c>
      <c r="AB179" s="88">
        <f t="shared" si="39"/>
        <v>0</v>
      </c>
      <c r="AD179" s="298"/>
      <c r="AE179" s="298"/>
      <c r="AF179" s="298"/>
      <c r="AG179" s="298"/>
      <c r="AH179" s="298"/>
      <c r="AI179" s="298"/>
      <c r="AJ179" s="298">
        <f t="shared" si="32"/>
        <v>0</v>
      </c>
      <c r="AK179" s="298"/>
      <c r="AL179" s="298"/>
      <c r="AM179" s="301"/>
      <c r="AN179" s="301">
        <f t="shared" si="33"/>
        <v>0</v>
      </c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</row>
    <row r="180" spans="3:56" ht="12.75">
      <c r="C180" s="155" t="s">
        <v>195</v>
      </c>
      <c r="D180" s="203"/>
      <c r="E180" s="149"/>
      <c r="F180" s="150">
        <f>SUM(F181:F183)</f>
        <v>0.005</v>
      </c>
      <c r="G180" s="150"/>
      <c r="H180" s="262">
        <v>37926</v>
      </c>
      <c r="I180" s="263">
        <v>38047</v>
      </c>
      <c r="J180" s="152">
        <f aca="true" t="shared" si="43" ref="J180:X180">SUM(J181:J183)</f>
        <v>0</v>
      </c>
      <c r="K180" s="153">
        <f t="shared" si="43"/>
        <v>0</v>
      </c>
      <c r="L180" s="153">
        <f t="shared" si="43"/>
        <v>0</v>
      </c>
      <c r="M180" s="153">
        <f t="shared" si="43"/>
        <v>0</v>
      </c>
      <c r="N180" s="153">
        <f t="shared" si="43"/>
        <v>0</v>
      </c>
      <c r="O180" s="200">
        <f>SUM(O181:O183)</f>
        <v>0</v>
      </c>
      <c r="P180" s="153">
        <f>SUM(P181:P183)</f>
        <v>0</v>
      </c>
      <c r="Q180" s="153">
        <f>SUM(Q181:Q183)</f>
        <v>0.005</v>
      </c>
      <c r="R180" s="153">
        <f>SUM(R181:R183)</f>
        <v>0</v>
      </c>
      <c r="S180" s="153">
        <f>SUM(S181:S183)</f>
        <v>0</v>
      </c>
      <c r="T180" s="171">
        <f t="shared" si="37"/>
        <v>0.005</v>
      </c>
      <c r="U180" s="154">
        <f t="shared" si="43"/>
        <v>0.006</v>
      </c>
      <c r="V180" s="236">
        <f t="shared" si="34"/>
        <v>-0.001</v>
      </c>
      <c r="W180" s="153">
        <f t="shared" si="43"/>
        <v>0</v>
      </c>
      <c r="X180" s="153">
        <f t="shared" si="43"/>
        <v>0</v>
      </c>
      <c r="Y180" s="128"/>
      <c r="Z180" s="168">
        <f t="shared" si="40"/>
        <v>0.005</v>
      </c>
      <c r="AB180" s="88">
        <f t="shared" si="39"/>
        <v>0</v>
      </c>
      <c r="AD180" s="298"/>
      <c r="AE180" s="298"/>
      <c r="AF180" s="298"/>
      <c r="AG180" s="298"/>
      <c r="AH180" s="298"/>
      <c r="AI180" s="298"/>
      <c r="AJ180" s="298">
        <f t="shared" si="32"/>
        <v>0</v>
      </c>
      <c r="AK180" s="298"/>
      <c r="AL180" s="298"/>
      <c r="AM180" s="301"/>
      <c r="AN180" s="301">
        <f t="shared" si="33"/>
        <v>0</v>
      </c>
      <c r="AP180" s="301"/>
      <c r="AQ180" s="301"/>
      <c r="AR180" s="301"/>
      <c r="AS180" s="301"/>
      <c r="AT180" s="301"/>
      <c r="AU180" s="301"/>
      <c r="AV180" s="301"/>
      <c r="AW180" s="301"/>
      <c r="AX180" s="301"/>
      <c r="AY180" s="301"/>
      <c r="AZ180" s="301"/>
      <c r="BA180" s="301"/>
      <c r="BB180" s="301"/>
      <c r="BC180" s="301"/>
      <c r="BD180" s="301"/>
    </row>
    <row r="181" spans="1:56" ht="12.75" hidden="1">
      <c r="A181" s="98" t="s">
        <v>334</v>
      </c>
      <c r="C181" s="261" t="s">
        <v>366</v>
      </c>
      <c r="D181" s="203" t="s">
        <v>334</v>
      </c>
      <c r="E181" s="149"/>
      <c r="F181" s="150">
        <v>0.005</v>
      </c>
      <c r="G181" s="150"/>
      <c r="H181" s="262">
        <v>37987</v>
      </c>
      <c r="I181" s="263">
        <v>38078</v>
      </c>
      <c r="J181" s="152"/>
      <c r="K181" s="153"/>
      <c r="L181" s="200"/>
      <c r="M181" s="153"/>
      <c r="N181" s="153"/>
      <c r="O181" s="200"/>
      <c r="P181" s="153"/>
      <c r="Q181" s="153">
        <v>0.005</v>
      </c>
      <c r="R181" s="153"/>
      <c r="S181" s="153"/>
      <c r="T181" s="171">
        <f t="shared" si="37"/>
        <v>0.005</v>
      </c>
      <c r="U181" s="153">
        <v>0.005</v>
      </c>
      <c r="V181" s="236">
        <f t="shared" si="34"/>
        <v>0</v>
      </c>
      <c r="W181" s="153"/>
      <c r="X181" s="153"/>
      <c r="Y181" s="128"/>
      <c r="Z181" s="168">
        <f t="shared" si="40"/>
        <v>0.005</v>
      </c>
      <c r="AB181" s="88">
        <f t="shared" si="39"/>
        <v>0</v>
      </c>
      <c r="AD181" s="298"/>
      <c r="AE181" s="298"/>
      <c r="AF181" s="298"/>
      <c r="AG181" s="298"/>
      <c r="AH181" s="298"/>
      <c r="AI181" s="298"/>
      <c r="AJ181" s="298">
        <f aca="true" t="shared" si="44" ref="AJ181:AJ204">SUM(AP181:BD181)</f>
        <v>0</v>
      </c>
      <c r="AK181" s="298"/>
      <c r="AL181" s="298"/>
      <c r="AM181" s="301"/>
      <c r="AN181" s="301">
        <f aca="true" t="shared" si="45" ref="AN181:AN205">SUM(AD181:AM181)</f>
        <v>0</v>
      </c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</row>
    <row r="182" spans="3:56" ht="12.75" hidden="1">
      <c r="C182" s="261" t="s">
        <v>485</v>
      </c>
      <c r="D182" s="203" t="s">
        <v>486</v>
      </c>
      <c r="E182" s="149"/>
      <c r="F182" s="150"/>
      <c r="G182" s="150"/>
      <c r="H182" s="262"/>
      <c r="I182" s="263"/>
      <c r="J182" s="152"/>
      <c r="K182" s="153"/>
      <c r="L182" s="200"/>
      <c r="M182" s="153"/>
      <c r="N182" s="153"/>
      <c r="O182" s="200"/>
      <c r="P182" s="153"/>
      <c r="Q182" s="153"/>
      <c r="R182" s="153"/>
      <c r="S182" s="153"/>
      <c r="T182" s="171"/>
      <c r="U182" s="153">
        <v>0.001</v>
      </c>
      <c r="V182" s="236">
        <f aca="true" t="shared" si="46" ref="V182:V204">T182-U182</f>
        <v>-0.001</v>
      </c>
      <c r="W182" s="153"/>
      <c r="X182" s="153"/>
      <c r="Y182" s="128"/>
      <c r="Z182" s="168"/>
      <c r="AB182" s="88">
        <f t="shared" si="39"/>
        <v>0</v>
      </c>
      <c r="AD182" s="298"/>
      <c r="AE182" s="298"/>
      <c r="AF182" s="298"/>
      <c r="AG182" s="298"/>
      <c r="AH182" s="298"/>
      <c r="AI182" s="298"/>
      <c r="AJ182" s="298">
        <f t="shared" si="44"/>
        <v>0</v>
      </c>
      <c r="AK182" s="298"/>
      <c r="AL182" s="298"/>
      <c r="AM182" s="301"/>
      <c r="AN182" s="301">
        <f t="shared" si="45"/>
        <v>0</v>
      </c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1"/>
      <c r="BB182" s="301"/>
      <c r="BC182" s="301"/>
      <c r="BD182" s="301"/>
    </row>
    <row r="183" spans="1:56" ht="12.75" hidden="1">
      <c r="A183" s="98" t="s">
        <v>335</v>
      </c>
      <c r="C183" s="261" t="s">
        <v>367</v>
      </c>
      <c r="D183" s="203" t="s">
        <v>335</v>
      </c>
      <c r="E183" s="149"/>
      <c r="F183" s="150">
        <v>0</v>
      </c>
      <c r="G183" s="150"/>
      <c r="H183" s="262">
        <v>37926</v>
      </c>
      <c r="I183" s="263">
        <v>38047</v>
      </c>
      <c r="J183" s="152"/>
      <c r="K183" s="153"/>
      <c r="L183" s="200"/>
      <c r="M183" s="153"/>
      <c r="N183" s="153"/>
      <c r="O183" s="200"/>
      <c r="P183" s="153"/>
      <c r="Q183" s="153"/>
      <c r="R183" s="153"/>
      <c r="S183" s="153"/>
      <c r="T183" s="171">
        <f t="shared" si="37"/>
        <v>0</v>
      </c>
      <c r="U183" s="153">
        <v>0</v>
      </c>
      <c r="V183" s="236">
        <f t="shared" si="46"/>
        <v>0</v>
      </c>
      <c r="W183" s="153"/>
      <c r="X183" s="153"/>
      <c r="Y183" s="128"/>
      <c r="Z183" s="168">
        <f t="shared" si="40"/>
        <v>0</v>
      </c>
      <c r="AB183" s="88">
        <f t="shared" si="39"/>
        <v>0</v>
      </c>
      <c r="AD183" s="298"/>
      <c r="AE183" s="298"/>
      <c r="AF183" s="298"/>
      <c r="AG183" s="298"/>
      <c r="AH183" s="298"/>
      <c r="AI183" s="298"/>
      <c r="AJ183" s="298">
        <f t="shared" si="44"/>
        <v>0</v>
      </c>
      <c r="AK183" s="298"/>
      <c r="AL183" s="298"/>
      <c r="AM183" s="301"/>
      <c r="AN183" s="301">
        <f t="shared" si="45"/>
        <v>0</v>
      </c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1"/>
      <c r="BB183" s="301"/>
      <c r="BC183" s="301"/>
      <c r="BD183" s="301"/>
    </row>
    <row r="184" spans="3:56" ht="12.75" hidden="1">
      <c r="C184" s="155"/>
      <c r="D184" s="203"/>
      <c r="E184" s="149"/>
      <c r="F184" s="150"/>
      <c r="G184" s="150"/>
      <c r="H184" s="262"/>
      <c r="I184" s="263"/>
      <c r="J184" s="152"/>
      <c r="K184" s="153"/>
      <c r="L184" s="200"/>
      <c r="M184" s="153"/>
      <c r="N184" s="153"/>
      <c r="O184" s="200"/>
      <c r="P184" s="153"/>
      <c r="Q184" s="153"/>
      <c r="R184" s="153"/>
      <c r="S184" s="153"/>
      <c r="T184" s="171"/>
      <c r="U184" s="154"/>
      <c r="V184" s="236">
        <f t="shared" si="46"/>
        <v>0</v>
      </c>
      <c r="W184" s="153"/>
      <c r="X184" s="153"/>
      <c r="Y184" s="128"/>
      <c r="Z184" s="168">
        <f t="shared" si="40"/>
        <v>0</v>
      </c>
      <c r="AB184" s="88">
        <f t="shared" si="39"/>
        <v>0</v>
      </c>
      <c r="AD184" s="298"/>
      <c r="AE184" s="298"/>
      <c r="AF184" s="298"/>
      <c r="AG184" s="298"/>
      <c r="AH184" s="298"/>
      <c r="AI184" s="298"/>
      <c r="AJ184" s="298">
        <f t="shared" si="44"/>
        <v>0</v>
      </c>
      <c r="AK184" s="298"/>
      <c r="AL184" s="298"/>
      <c r="AM184" s="301"/>
      <c r="AN184" s="301">
        <f t="shared" si="45"/>
        <v>0</v>
      </c>
      <c r="AP184" s="301"/>
      <c r="AQ184" s="301"/>
      <c r="AR184" s="301"/>
      <c r="AS184" s="301"/>
      <c r="AT184" s="301"/>
      <c r="AU184" s="301"/>
      <c r="AV184" s="301"/>
      <c r="AW184" s="301"/>
      <c r="AX184" s="301"/>
      <c r="AY184" s="301"/>
      <c r="AZ184" s="301"/>
      <c r="BA184" s="301"/>
      <c r="BB184" s="301"/>
      <c r="BC184" s="301"/>
      <c r="BD184" s="301"/>
    </row>
    <row r="185" spans="3:56" ht="12.75">
      <c r="C185" s="155" t="s">
        <v>109</v>
      </c>
      <c r="D185" s="203"/>
      <c r="E185" s="149"/>
      <c r="F185" s="150">
        <f>SUM(F186:F197)</f>
        <v>0.633</v>
      </c>
      <c r="G185" s="150"/>
      <c r="H185" s="262">
        <v>36251</v>
      </c>
      <c r="I185" s="263">
        <v>38412</v>
      </c>
      <c r="J185" s="152">
        <f aca="true" t="shared" si="47" ref="J185:X185">SUM(J186:J197)</f>
        <v>0.074</v>
      </c>
      <c r="K185" s="153">
        <f t="shared" si="47"/>
        <v>0.005</v>
      </c>
      <c r="L185" s="153">
        <f t="shared" si="47"/>
        <v>0.005</v>
      </c>
      <c r="M185" s="153">
        <f t="shared" si="47"/>
        <v>0.005</v>
      </c>
      <c r="N185" s="153">
        <f t="shared" si="47"/>
        <v>0.045</v>
      </c>
      <c r="O185" s="200">
        <f>SUM(O186:O197)</f>
        <v>0.055</v>
      </c>
      <c r="P185" s="153">
        <f>SUM(P186:P197)</f>
        <v>0.055</v>
      </c>
      <c r="Q185" s="153">
        <f>SUM(Q186:Q197)</f>
        <v>0.055</v>
      </c>
      <c r="R185" s="153">
        <f>SUM(R186:R197)</f>
        <v>0.057</v>
      </c>
      <c r="S185" s="153">
        <f>SUM(S186:S197)</f>
        <v>0.092</v>
      </c>
      <c r="T185" s="171">
        <f t="shared" si="37"/>
        <v>0.44799999999999995</v>
      </c>
      <c r="U185" s="154">
        <f>SUM(U186:U198)</f>
        <v>0.12400000000000001</v>
      </c>
      <c r="V185" s="236">
        <f t="shared" si="46"/>
        <v>0.32399999999999995</v>
      </c>
      <c r="W185" s="153">
        <f t="shared" si="47"/>
        <v>0.095</v>
      </c>
      <c r="X185" s="153">
        <f t="shared" si="47"/>
        <v>0.09</v>
      </c>
      <c r="Y185" s="128"/>
      <c r="Z185" s="168">
        <f t="shared" si="40"/>
        <v>0.633</v>
      </c>
      <c r="AB185" s="88">
        <f t="shared" si="39"/>
        <v>0</v>
      </c>
      <c r="AD185" s="298"/>
      <c r="AE185" s="298"/>
      <c r="AF185" s="298"/>
      <c r="AG185" s="298"/>
      <c r="AH185" s="298"/>
      <c r="AI185" s="298"/>
      <c r="AJ185" s="298">
        <f t="shared" si="44"/>
        <v>0</v>
      </c>
      <c r="AK185" s="298"/>
      <c r="AL185" s="298"/>
      <c r="AM185" s="301"/>
      <c r="AN185" s="301">
        <f t="shared" si="45"/>
        <v>0</v>
      </c>
      <c r="AP185" s="301"/>
      <c r="AQ185" s="301"/>
      <c r="AR185" s="301"/>
      <c r="AS185" s="301"/>
      <c r="AT185" s="301"/>
      <c r="AU185" s="301"/>
      <c r="AV185" s="301"/>
      <c r="AW185" s="301"/>
      <c r="AX185" s="301"/>
      <c r="AY185" s="301"/>
      <c r="AZ185" s="301"/>
      <c r="BA185" s="301"/>
      <c r="BB185" s="301"/>
      <c r="BC185" s="301"/>
      <c r="BD185" s="301"/>
    </row>
    <row r="186" spans="1:56" ht="12.75" hidden="1">
      <c r="A186" s="98" t="s">
        <v>336</v>
      </c>
      <c r="C186" s="261" t="s">
        <v>368</v>
      </c>
      <c r="D186" s="203" t="s">
        <v>336</v>
      </c>
      <c r="E186" s="149"/>
      <c r="F186" s="150">
        <v>0.04</v>
      </c>
      <c r="G186" s="150"/>
      <c r="H186" s="262">
        <v>36251</v>
      </c>
      <c r="I186" s="263">
        <v>38412</v>
      </c>
      <c r="J186" s="152">
        <v>0.005</v>
      </c>
      <c r="K186" s="153">
        <v>0.005</v>
      </c>
      <c r="L186" s="153">
        <v>0.005</v>
      </c>
      <c r="M186" s="153">
        <v>0.005</v>
      </c>
      <c r="N186" s="268">
        <v>0.005</v>
      </c>
      <c r="O186" s="153">
        <v>0.005</v>
      </c>
      <c r="P186" s="153">
        <v>0.005</v>
      </c>
      <c r="Q186" s="153">
        <v>0.005</v>
      </c>
      <c r="R186" s="153"/>
      <c r="S186" s="153"/>
      <c r="T186" s="171">
        <f t="shared" si="37"/>
        <v>0.04</v>
      </c>
      <c r="U186" s="153">
        <v>0.032</v>
      </c>
      <c r="V186" s="236">
        <f t="shared" si="46"/>
        <v>0.008</v>
      </c>
      <c r="W186" s="153"/>
      <c r="X186" s="153"/>
      <c r="Y186" s="128"/>
      <c r="Z186" s="168">
        <f t="shared" si="40"/>
        <v>0.04</v>
      </c>
      <c r="AB186" s="88">
        <f t="shared" si="39"/>
        <v>0</v>
      </c>
      <c r="AD186" s="298"/>
      <c r="AE186" s="298"/>
      <c r="AF186" s="298"/>
      <c r="AG186" s="298"/>
      <c r="AH186" s="298"/>
      <c r="AI186" s="298"/>
      <c r="AJ186" s="298">
        <f t="shared" si="44"/>
        <v>0</v>
      </c>
      <c r="AK186" s="298"/>
      <c r="AL186" s="298"/>
      <c r="AM186" s="301"/>
      <c r="AN186" s="301">
        <f t="shared" si="45"/>
        <v>0</v>
      </c>
      <c r="AP186" s="301"/>
      <c r="AQ186" s="301"/>
      <c r="AR186" s="301"/>
      <c r="AS186" s="301"/>
      <c r="AT186" s="301"/>
      <c r="AU186" s="301"/>
      <c r="AV186" s="301"/>
      <c r="AW186" s="301"/>
      <c r="AX186" s="301"/>
      <c r="AY186" s="301"/>
      <c r="AZ186" s="301"/>
      <c r="BA186" s="301"/>
      <c r="BB186" s="301"/>
      <c r="BC186" s="301"/>
      <c r="BD186" s="301"/>
    </row>
    <row r="187" spans="1:56" ht="12.75" hidden="1">
      <c r="A187" s="98" t="s">
        <v>337</v>
      </c>
      <c r="C187" s="261" t="s">
        <v>369</v>
      </c>
      <c r="D187" s="203" t="s">
        <v>337</v>
      </c>
      <c r="E187" s="149"/>
      <c r="F187" s="150">
        <v>0</v>
      </c>
      <c r="G187" s="150"/>
      <c r="H187" s="262">
        <v>36342</v>
      </c>
      <c r="I187" s="263">
        <v>38412</v>
      </c>
      <c r="J187" s="152"/>
      <c r="K187" s="153"/>
      <c r="L187" s="153"/>
      <c r="M187" s="153"/>
      <c r="N187" s="268"/>
      <c r="O187" s="153"/>
      <c r="P187" s="153"/>
      <c r="Q187" s="153"/>
      <c r="R187" s="153"/>
      <c r="S187" s="153"/>
      <c r="T187" s="171">
        <f t="shared" si="37"/>
        <v>0</v>
      </c>
      <c r="U187" s="153">
        <v>0</v>
      </c>
      <c r="V187" s="236">
        <f t="shared" si="46"/>
        <v>0</v>
      </c>
      <c r="W187" s="153"/>
      <c r="X187" s="153"/>
      <c r="Y187" s="128"/>
      <c r="Z187" s="168">
        <f t="shared" si="40"/>
        <v>0</v>
      </c>
      <c r="AB187" s="88">
        <f t="shared" si="39"/>
        <v>0</v>
      </c>
      <c r="AD187" s="298"/>
      <c r="AE187" s="298"/>
      <c r="AF187" s="298"/>
      <c r="AG187" s="298"/>
      <c r="AH187" s="298"/>
      <c r="AI187" s="298"/>
      <c r="AJ187" s="298">
        <f t="shared" si="44"/>
        <v>0</v>
      </c>
      <c r="AK187" s="298"/>
      <c r="AL187" s="298"/>
      <c r="AM187" s="301"/>
      <c r="AN187" s="301">
        <f t="shared" si="45"/>
        <v>0</v>
      </c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301"/>
      <c r="AZ187" s="301"/>
      <c r="BA187" s="301"/>
      <c r="BB187" s="301"/>
      <c r="BC187" s="301"/>
      <c r="BD187" s="301"/>
    </row>
    <row r="188" spans="1:56" ht="12.75" hidden="1">
      <c r="A188" s="98" t="s">
        <v>451</v>
      </c>
      <c r="C188" s="261" t="s">
        <v>450</v>
      </c>
      <c r="D188" s="203" t="s">
        <v>451</v>
      </c>
      <c r="E188" s="149"/>
      <c r="F188" s="150">
        <v>0.005</v>
      </c>
      <c r="G188" s="150"/>
      <c r="H188" s="262">
        <v>35886</v>
      </c>
      <c r="I188" s="263">
        <v>37681</v>
      </c>
      <c r="J188" s="150">
        <v>0.005</v>
      </c>
      <c r="K188" s="153"/>
      <c r="L188" s="200"/>
      <c r="M188" s="153"/>
      <c r="N188" s="268"/>
      <c r="O188" s="153"/>
      <c r="P188" s="153"/>
      <c r="Q188" s="153"/>
      <c r="R188" s="153"/>
      <c r="S188" s="153"/>
      <c r="T188" s="171">
        <f t="shared" si="37"/>
        <v>0.005</v>
      </c>
      <c r="U188" s="153">
        <v>0.008</v>
      </c>
      <c r="V188" s="236">
        <f t="shared" si="46"/>
        <v>-0.003</v>
      </c>
      <c r="W188" s="153"/>
      <c r="X188" s="153"/>
      <c r="Y188" s="128"/>
      <c r="Z188" s="168">
        <f t="shared" si="40"/>
        <v>0.005</v>
      </c>
      <c r="AB188" s="88">
        <f t="shared" si="39"/>
        <v>0</v>
      </c>
      <c r="AD188" s="298"/>
      <c r="AE188" s="298"/>
      <c r="AF188" s="298"/>
      <c r="AG188" s="298"/>
      <c r="AH188" s="298"/>
      <c r="AI188" s="298"/>
      <c r="AJ188" s="298">
        <f t="shared" si="44"/>
        <v>0</v>
      </c>
      <c r="AK188" s="298"/>
      <c r="AL188" s="298"/>
      <c r="AM188" s="301"/>
      <c r="AN188" s="301">
        <f t="shared" si="45"/>
        <v>0</v>
      </c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</row>
    <row r="189" spans="1:56" ht="12.75" hidden="1">
      <c r="A189" s="98" t="s">
        <v>338</v>
      </c>
      <c r="C189" s="261" t="s">
        <v>370</v>
      </c>
      <c r="D189" s="203" t="s">
        <v>338</v>
      </c>
      <c r="E189" s="149"/>
      <c r="F189" s="150">
        <v>0.004</v>
      </c>
      <c r="G189" s="150"/>
      <c r="H189" s="262">
        <v>36617</v>
      </c>
      <c r="I189" s="263">
        <v>37316</v>
      </c>
      <c r="J189" s="150">
        <v>0.004</v>
      </c>
      <c r="K189" s="153"/>
      <c r="L189" s="200"/>
      <c r="M189" s="153"/>
      <c r="N189" s="268"/>
      <c r="O189" s="153"/>
      <c r="P189" s="153"/>
      <c r="Q189" s="153"/>
      <c r="R189" s="153"/>
      <c r="S189" s="153"/>
      <c r="T189" s="171">
        <f t="shared" si="37"/>
        <v>0.004</v>
      </c>
      <c r="U189" s="153">
        <v>0.004</v>
      </c>
      <c r="V189" s="236">
        <f t="shared" si="46"/>
        <v>0</v>
      </c>
      <c r="W189" s="153"/>
      <c r="X189" s="153"/>
      <c r="Y189" s="128"/>
      <c r="Z189" s="168">
        <f aca="true" t="shared" si="48" ref="Z189:Z198">T189+SUM(W189:X189)</f>
        <v>0.004</v>
      </c>
      <c r="AB189" s="88">
        <f t="shared" si="39"/>
        <v>0</v>
      </c>
      <c r="AD189" s="298"/>
      <c r="AE189" s="298"/>
      <c r="AF189" s="298"/>
      <c r="AG189" s="298"/>
      <c r="AH189" s="298"/>
      <c r="AI189" s="298"/>
      <c r="AJ189" s="298">
        <f t="shared" si="44"/>
        <v>0</v>
      </c>
      <c r="AK189" s="298"/>
      <c r="AL189" s="298"/>
      <c r="AM189" s="301"/>
      <c r="AN189" s="301">
        <f t="shared" si="45"/>
        <v>0</v>
      </c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301"/>
      <c r="AZ189" s="301"/>
      <c r="BA189" s="301"/>
      <c r="BB189" s="301"/>
      <c r="BC189" s="301"/>
      <c r="BD189" s="301"/>
    </row>
    <row r="190" spans="1:56" ht="12.75" hidden="1">
      <c r="A190" s="98" t="s">
        <v>339</v>
      </c>
      <c r="C190" s="261" t="s">
        <v>371</v>
      </c>
      <c r="D190" s="203" t="s">
        <v>339</v>
      </c>
      <c r="E190" s="149"/>
      <c r="F190" s="150">
        <v>0.005</v>
      </c>
      <c r="G190" s="150"/>
      <c r="H190" s="262">
        <v>36617</v>
      </c>
      <c r="I190" s="263">
        <v>37681</v>
      </c>
      <c r="J190" s="150">
        <v>0.005</v>
      </c>
      <c r="K190" s="153"/>
      <c r="L190" s="200"/>
      <c r="M190" s="153"/>
      <c r="N190" s="268"/>
      <c r="O190" s="153"/>
      <c r="P190" s="153"/>
      <c r="Q190" s="153"/>
      <c r="R190" s="153"/>
      <c r="S190" s="153"/>
      <c r="T190" s="171">
        <f aca="true" t="shared" si="49" ref="T190:T198">SUM(J190:S190)</f>
        <v>0.005</v>
      </c>
      <c r="U190" s="153">
        <v>0.005</v>
      </c>
      <c r="V190" s="236">
        <f t="shared" si="46"/>
        <v>0</v>
      </c>
      <c r="W190" s="153"/>
      <c r="X190" s="153"/>
      <c r="Y190" s="128"/>
      <c r="Z190" s="168">
        <f t="shared" si="48"/>
        <v>0.005</v>
      </c>
      <c r="AB190" s="88">
        <f t="shared" si="39"/>
        <v>0</v>
      </c>
      <c r="AD190" s="298"/>
      <c r="AE190" s="298"/>
      <c r="AF190" s="298"/>
      <c r="AG190" s="298"/>
      <c r="AH190" s="298"/>
      <c r="AI190" s="298"/>
      <c r="AJ190" s="298">
        <f t="shared" si="44"/>
        <v>0</v>
      </c>
      <c r="AK190" s="298"/>
      <c r="AL190" s="298"/>
      <c r="AM190" s="301"/>
      <c r="AN190" s="301">
        <f t="shared" si="45"/>
        <v>0</v>
      </c>
      <c r="AP190" s="301"/>
      <c r="AQ190" s="301"/>
      <c r="AR190" s="301"/>
      <c r="AS190" s="301"/>
      <c r="AT190" s="301"/>
      <c r="AU190" s="301"/>
      <c r="AV190" s="301"/>
      <c r="AW190" s="301"/>
      <c r="AX190" s="301"/>
      <c r="AY190" s="301"/>
      <c r="AZ190" s="301"/>
      <c r="BA190" s="301"/>
      <c r="BB190" s="301"/>
      <c r="BC190" s="301"/>
      <c r="BD190" s="301"/>
    </row>
    <row r="191" spans="1:56" ht="12.75" hidden="1">
      <c r="A191" s="98" t="s">
        <v>340</v>
      </c>
      <c r="C191" s="261" t="s">
        <v>372</v>
      </c>
      <c r="D191" s="203" t="s">
        <v>340</v>
      </c>
      <c r="E191" s="149"/>
      <c r="F191" s="150">
        <v>0.2</v>
      </c>
      <c r="G191" s="150"/>
      <c r="H191" s="262">
        <v>37712</v>
      </c>
      <c r="I191" s="263">
        <v>38047</v>
      </c>
      <c r="J191" s="152"/>
      <c r="K191" s="153"/>
      <c r="L191" s="153"/>
      <c r="M191" s="153"/>
      <c r="N191" s="268">
        <v>0.003</v>
      </c>
      <c r="O191" s="153">
        <v>0.01</v>
      </c>
      <c r="P191" s="153">
        <v>0.01</v>
      </c>
      <c r="Q191" s="153">
        <v>0.01</v>
      </c>
      <c r="R191" s="153">
        <v>0.017</v>
      </c>
      <c r="S191" s="153">
        <v>0.05</v>
      </c>
      <c r="T191" s="171">
        <f t="shared" si="49"/>
        <v>0.1</v>
      </c>
      <c r="U191" s="153">
        <v>0.029</v>
      </c>
      <c r="V191" s="236">
        <f t="shared" si="46"/>
        <v>0.07100000000000001</v>
      </c>
      <c r="W191" s="153">
        <v>0.05</v>
      </c>
      <c r="X191" s="153">
        <v>0.05</v>
      </c>
      <c r="Y191" s="128"/>
      <c r="Z191" s="168">
        <f t="shared" si="48"/>
        <v>0.2</v>
      </c>
      <c r="AB191" s="88">
        <f t="shared" si="39"/>
        <v>0</v>
      </c>
      <c r="AD191" s="298"/>
      <c r="AE191" s="298"/>
      <c r="AF191" s="298"/>
      <c r="AG191" s="298"/>
      <c r="AH191" s="298"/>
      <c r="AI191" s="298"/>
      <c r="AJ191" s="298">
        <f t="shared" si="44"/>
        <v>0</v>
      </c>
      <c r="AK191" s="298"/>
      <c r="AL191" s="298"/>
      <c r="AM191" s="301"/>
      <c r="AN191" s="301">
        <f t="shared" si="45"/>
        <v>0</v>
      </c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301"/>
      <c r="AZ191" s="301"/>
      <c r="BA191" s="301"/>
      <c r="BB191" s="301"/>
      <c r="BC191" s="301"/>
      <c r="BD191" s="301"/>
    </row>
    <row r="192" spans="1:56" ht="12.75" hidden="1">
      <c r="A192" s="98" t="s">
        <v>341</v>
      </c>
      <c r="C192" s="261" t="s">
        <v>373</v>
      </c>
      <c r="D192" s="203" t="s">
        <v>341</v>
      </c>
      <c r="E192" s="149"/>
      <c r="F192" s="150">
        <v>0.003</v>
      </c>
      <c r="G192" s="150"/>
      <c r="H192" s="262">
        <v>37987</v>
      </c>
      <c r="I192" s="263">
        <v>38231</v>
      </c>
      <c r="J192" s="152"/>
      <c r="K192" s="153"/>
      <c r="L192" s="200"/>
      <c r="M192" s="153"/>
      <c r="N192" s="268">
        <v>0.001</v>
      </c>
      <c r="O192" s="153"/>
      <c r="P192" s="153"/>
      <c r="Q192" s="153"/>
      <c r="R192" s="153"/>
      <c r="S192" s="153">
        <v>0.002</v>
      </c>
      <c r="T192" s="171">
        <f t="shared" si="49"/>
        <v>0.003</v>
      </c>
      <c r="U192" s="153">
        <v>0.006</v>
      </c>
      <c r="V192" s="236">
        <f t="shared" si="46"/>
        <v>-0.003</v>
      </c>
      <c r="W192" s="153"/>
      <c r="X192" s="153"/>
      <c r="Y192" s="128"/>
      <c r="Z192" s="168">
        <f t="shared" si="48"/>
        <v>0.003</v>
      </c>
      <c r="AB192" s="88">
        <f t="shared" si="39"/>
        <v>0</v>
      </c>
      <c r="AD192" s="298"/>
      <c r="AE192" s="298"/>
      <c r="AF192" s="298"/>
      <c r="AG192" s="298"/>
      <c r="AH192" s="298"/>
      <c r="AI192" s="298"/>
      <c r="AJ192" s="298">
        <f t="shared" si="44"/>
        <v>0</v>
      </c>
      <c r="AK192" s="298"/>
      <c r="AL192" s="298"/>
      <c r="AM192" s="301"/>
      <c r="AN192" s="301">
        <f t="shared" si="45"/>
        <v>0</v>
      </c>
      <c r="AP192" s="301"/>
      <c r="AQ192" s="301"/>
      <c r="AR192" s="301"/>
      <c r="AS192" s="301"/>
      <c r="AT192" s="301"/>
      <c r="AU192" s="301"/>
      <c r="AV192" s="301"/>
      <c r="AW192" s="301"/>
      <c r="AX192" s="301"/>
      <c r="AY192" s="301"/>
      <c r="AZ192" s="301"/>
      <c r="BA192" s="301"/>
      <c r="BB192" s="301"/>
      <c r="BC192" s="301"/>
      <c r="BD192" s="301"/>
    </row>
    <row r="193" spans="1:56" ht="12.75" hidden="1">
      <c r="A193" s="98" t="s">
        <v>441</v>
      </c>
      <c r="C193" s="261" t="s">
        <v>452</v>
      </c>
      <c r="D193" s="203"/>
      <c r="E193" s="149"/>
      <c r="F193" s="150">
        <v>0.005</v>
      </c>
      <c r="G193" s="150"/>
      <c r="H193" s="262">
        <v>37834</v>
      </c>
      <c r="I193" s="263">
        <v>38047</v>
      </c>
      <c r="J193" s="150">
        <v>0.005</v>
      </c>
      <c r="K193" s="153"/>
      <c r="L193" s="200"/>
      <c r="M193" s="153"/>
      <c r="N193" s="268"/>
      <c r="O193" s="153"/>
      <c r="P193" s="153"/>
      <c r="Q193" s="153"/>
      <c r="R193" s="153"/>
      <c r="S193" s="153"/>
      <c r="T193" s="171">
        <f t="shared" si="49"/>
        <v>0.005</v>
      </c>
      <c r="U193" s="153">
        <v>0.002</v>
      </c>
      <c r="V193" s="236">
        <f t="shared" si="46"/>
        <v>0.003</v>
      </c>
      <c r="W193" s="153"/>
      <c r="X193" s="153"/>
      <c r="Y193" s="128"/>
      <c r="Z193" s="168">
        <f t="shared" si="48"/>
        <v>0.005</v>
      </c>
      <c r="AB193" s="88">
        <f t="shared" si="39"/>
        <v>0</v>
      </c>
      <c r="AD193" s="298"/>
      <c r="AE193" s="298"/>
      <c r="AF193" s="298"/>
      <c r="AG193" s="298"/>
      <c r="AH193" s="298"/>
      <c r="AI193" s="298"/>
      <c r="AJ193" s="298">
        <f t="shared" si="44"/>
        <v>0</v>
      </c>
      <c r="AK193" s="298"/>
      <c r="AL193" s="298"/>
      <c r="AM193" s="301"/>
      <c r="AN193" s="301">
        <f t="shared" si="45"/>
        <v>0</v>
      </c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</row>
    <row r="194" spans="1:56" ht="12.75" hidden="1">
      <c r="A194" s="98" t="s">
        <v>441</v>
      </c>
      <c r="C194" s="261" t="s">
        <v>453</v>
      </c>
      <c r="D194" s="203"/>
      <c r="E194" s="149"/>
      <c r="F194" s="150">
        <v>0.025</v>
      </c>
      <c r="G194" s="150"/>
      <c r="H194" s="262">
        <v>37773</v>
      </c>
      <c r="I194" s="263">
        <v>38047</v>
      </c>
      <c r="J194" s="150">
        <v>0.02</v>
      </c>
      <c r="K194" s="153"/>
      <c r="L194" s="200"/>
      <c r="M194" s="153"/>
      <c r="N194" s="268"/>
      <c r="O194" s="153"/>
      <c r="P194" s="153"/>
      <c r="Q194" s="153"/>
      <c r="R194" s="153"/>
      <c r="S194" s="153"/>
      <c r="T194" s="171">
        <f t="shared" si="49"/>
        <v>0.02</v>
      </c>
      <c r="U194" s="153"/>
      <c r="V194" s="236">
        <f t="shared" si="46"/>
        <v>0.02</v>
      </c>
      <c r="W194" s="153">
        <v>0.005</v>
      </c>
      <c r="X194" s="153"/>
      <c r="Y194" s="128"/>
      <c r="Z194" s="168">
        <f t="shared" si="48"/>
        <v>0.025</v>
      </c>
      <c r="AB194" s="88">
        <f t="shared" si="39"/>
        <v>0</v>
      </c>
      <c r="AD194" s="298"/>
      <c r="AE194" s="298"/>
      <c r="AF194" s="298"/>
      <c r="AG194" s="298"/>
      <c r="AH194" s="298"/>
      <c r="AI194" s="298"/>
      <c r="AJ194" s="298">
        <f t="shared" si="44"/>
        <v>0</v>
      </c>
      <c r="AK194" s="298"/>
      <c r="AL194" s="298"/>
      <c r="AM194" s="301"/>
      <c r="AN194" s="301">
        <f t="shared" si="45"/>
        <v>0</v>
      </c>
      <c r="AP194" s="301"/>
      <c r="AQ194" s="301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</row>
    <row r="195" spans="3:56" ht="12.75" hidden="1">
      <c r="C195" s="261" t="s">
        <v>487</v>
      </c>
      <c r="D195" s="203" t="s">
        <v>488</v>
      </c>
      <c r="E195" s="149"/>
      <c r="F195" s="150"/>
      <c r="G195" s="150"/>
      <c r="H195" s="262"/>
      <c r="I195" s="263"/>
      <c r="J195" s="150"/>
      <c r="K195" s="153"/>
      <c r="L195" s="200"/>
      <c r="M195" s="153"/>
      <c r="N195" s="268"/>
      <c r="O195" s="153"/>
      <c r="P195" s="153"/>
      <c r="Q195" s="153"/>
      <c r="R195" s="153"/>
      <c r="S195" s="153"/>
      <c r="T195" s="171"/>
      <c r="U195" s="153">
        <v>0.006</v>
      </c>
      <c r="V195" s="236">
        <f t="shared" si="46"/>
        <v>-0.006</v>
      </c>
      <c r="W195" s="153"/>
      <c r="X195" s="153"/>
      <c r="Y195" s="128"/>
      <c r="Z195" s="168"/>
      <c r="AB195" s="88">
        <f t="shared" si="39"/>
        <v>0</v>
      </c>
      <c r="AD195" s="298"/>
      <c r="AE195" s="298"/>
      <c r="AF195" s="298"/>
      <c r="AG195" s="298"/>
      <c r="AH195" s="298"/>
      <c r="AI195" s="298"/>
      <c r="AJ195" s="298">
        <f t="shared" si="44"/>
        <v>0</v>
      </c>
      <c r="AK195" s="298"/>
      <c r="AL195" s="298"/>
      <c r="AM195" s="301"/>
      <c r="AN195" s="301">
        <f t="shared" si="45"/>
        <v>0</v>
      </c>
      <c r="AP195" s="301"/>
      <c r="AQ195" s="301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</row>
    <row r="196" spans="1:56" ht="12.75" hidden="1">
      <c r="A196" s="98" t="s">
        <v>441</v>
      </c>
      <c r="C196" s="261" t="s">
        <v>454</v>
      </c>
      <c r="D196" s="203"/>
      <c r="E196" s="149"/>
      <c r="F196" s="150">
        <v>0.03</v>
      </c>
      <c r="G196" s="150"/>
      <c r="H196" s="262">
        <v>37987</v>
      </c>
      <c r="I196" s="263">
        <v>38047</v>
      </c>
      <c r="J196" s="150">
        <v>0.03</v>
      </c>
      <c r="K196" s="153"/>
      <c r="L196" s="200"/>
      <c r="M196" s="153"/>
      <c r="N196" s="268"/>
      <c r="O196" s="153"/>
      <c r="P196" s="153"/>
      <c r="Q196" s="153"/>
      <c r="R196" s="153"/>
      <c r="S196" s="153"/>
      <c r="T196" s="171">
        <f t="shared" si="49"/>
        <v>0.03</v>
      </c>
      <c r="U196" s="153"/>
      <c r="V196" s="236">
        <f t="shared" si="46"/>
        <v>0.03</v>
      </c>
      <c r="W196" s="153"/>
      <c r="X196" s="153"/>
      <c r="Y196" s="128"/>
      <c r="Z196" s="168">
        <f t="shared" si="48"/>
        <v>0.03</v>
      </c>
      <c r="AB196" s="88">
        <f t="shared" si="39"/>
        <v>0</v>
      </c>
      <c r="AD196" s="298"/>
      <c r="AE196" s="298"/>
      <c r="AF196" s="298"/>
      <c r="AG196" s="298"/>
      <c r="AH196" s="298"/>
      <c r="AI196" s="298"/>
      <c r="AJ196" s="298">
        <f t="shared" si="44"/>
        <v>0</v>
      </c>
      <c r="AK196" s="298"/>
      <c r="AL196" s="298"/>
      <c r="AM196" s="301"/>
      <c r="AN196" s="301">
        <f t="shared" si="45"/>
        <v>0</v>
      </c>
      <c r="AP196" s="301"/>
      <c r="AQ196" s="301"/>
      <c r="AR196" s="301"/>
      <c r="AS196" s="301"/>
      <c r="AT196" s="301"/>
      <c r="AU196" s="301"/>
      <c r="AV196" s="301"/>
      <c r="AW196" s="301"/>
      <c r="AX196" s="301"/>
      <c r="AY196" s="301"/>
      <c r="AZ196" s="301"/>
      <c r="BA196" s="301"/>
      <c r="BB196" s="301"/>
      <c r="BC196" s="301"/>
      <c r="BD196" s="301"/>
    </row>
    <row r="197" spans="1:56" ht="12.75" hidden="1">
      <c r="A197" s="98" t="s">
        <v>342</v>
      </c>
      <c r="C197" s="261" t="s">
        <v>374</v>
      </c>
      <c r="D197" s="203" t="s">
        <v>342</v>
      </c>
      <c r="E197" s="149"/>
      <c r="F197" s="150">
        <v>0.316</v>
      </c>
      <c r="G197" s="150"/>
      <c r="H197" s="262">
        <v>37865</v>
      </c>
      <c r="I197" s="263">
        <v>37987</v>
      </c>
      <c r="J197" s="152"/>
      <c r="K197" s="153"/>
      <c r="L197" s="200"/>
      <c r="M197" s="153"/>
      <c r="N197" s="268">
        <v>0.036</v>
      </c>
      <c r="O197" s="153">
        <v>0.04</v>
      </c>
      <c r="P197" s="153">
        <v>0.04</v>
      </c>
      <c r="Q197" s="153">
        <v>0.04</v>
      </c>
      <c r="R197" s="153">
        <v>0.04</v>
      </c>
      <c r="S197" s="153">
        <v>0.04</v>
      </c>
      <c r="T197" s="171">
        <f t="shared" si="49"/>
        <v>0.23600000000000002</v>
      </c>
      <c r="U197" s="153">
        <v>0.032</v>
      </c>
      <c r="V197" s="236">
        <f t="shared" si="46"/>
        <v>0.20400000000000001</v>
      </c>
      <c r="W197" s="153">
        <v>0.04</v>
      </c>
      <c r="X197" s="153">
        <v>0.04</v>
      </c>
      <c r="Y197" s="128"/>
      <c r="Z197" s="168">
        <f t="shared" si="48"/>
        <v>0.316</v>
      </c>
      <c r="AB197" s="88">
        <f t="shared" si="39"/>
        <v>0</v>
      </c>
      <c r="AD197" s="298"/>
      <c r="AE197" s="298"/>
      <c r="AF197" s="298"/>
      <c r="AG197" s="298"/>
      <c r="AH197" s="298"/>
      <c r="AI197" s="298"/>
      <c r="AJ197" s="298">
        <f t="shared" si="44"/>
        <v>0</v>
      </c>
      <c r="AK197" s="298"/>
      <c r="AL197" s="298"/>
      <c r="AM197" s="301"/>
      <c r="AN197" s="301">
        <f t="shared" si="45"/>
        <v>0</v>
      </c>
      <c r="AP197" s="301"/>
      <c r="AQ197" s="301"/>
      <c r="AR197" s="301"/>
      <c r="AS197" s="301"/>
      <c r="AT197" s="301"/>
      <c r="AU197" s="301"/>
      <c r="AV197" s="301"/>
      <c r="AW197" s="301"/>
      <c r="AX197" s="301"/>
      <c r="AY197" s="301"/>
      <c r="AZ197" s="301"/>
      <c r="BA197" s="301"/>
      <c r="BB197" s="301"/>
      <c r="BC197" s="301"/>
      <c r="BD197" s="301"/>
    </row>
    <row r="198" spans="3:56" ht="12.75" hidden="1">
      <c r="C198" s="261"/>
      <c r="D198" s="203"/>
      <c r="E198" s="149"/>
      <c r="F198" s="150"/>
      <c r="G198" s="150"/>
      <c r="H198" s="262"/>
      <c r="I198" s="263"/>
      <c r="J198" s="152"/>
      <c r="K198" s="153"/>
      <c r="L198" s="200"/>
      <c r="M198" s="153"/>
      <c r="N198" s="268"/>
      <c r="O198" s="153"/>
      <c r="P198" s="153"/>
      <c r="Q198" s="153"/>
      <c r="R198" s="153"/>
      <c r="S198" s="153"/>
      <c r="T198" s="171">
        <f t="shared" si="49"/>
        <v>0</v>
      </c>
      <c r="U198" s="153"/>
      <c r="V198" s="236">
        <f t="shared" si="46"/>
        <v>0</v>
      </c>
      <c r="W198" s="153"/>
      <c r="X198" s="153"/>
      <c r="Y198" s="128"/>
      <c r="Z198" s="168">
        <f t="shared" si="48"/>
        <v>0</v>
      </c>
      <c r="AB198" s="88">
        <f t="shared" si="39"/>
        <v>0</v>
      </c>
      <c r="AD198" s="298"/>
      <c r="AE198" s="298"/>
      <c r="AF198" s="298"/>
      <c r="AG198" s="298"/>
      <c r="AH198" s="298"/>
      <c r="AI198" s="298"/>
      <c r="AJ198" s="298">
        <f t="shared" si="44"/>
        <v>0</v>
      </c>
      <c r="AK198" s="298"/>
      <c r="AL198" s="298"/>
      <c r="AM198" s="301"/>
      <c r="AN198" s="301">
        <f t="shared" si="45"/>
        <v>0</v>
      </c>
      <c r="AP198" s="301"/>
      <c r="AQ198" s="301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</row>
    <row r="199" spans="3:56" ht="12.75">
      <c r="C199" s="261" t="s">
        <v>379</v>
      </c>
      <c r="D199" s="203"/>
      <c r="E199" s="149"/>
      <c r="F199" s="150"/>
      <c r="G199" s="150"/>
      <c r="H199" s="262"/>
      <c r="I199" s="263"/>
      <c r="J199" s="152"/>
      <c r="K199" s="153"/>
      <c r="L199" s="200"/>
      <c r="M199" s="153"/>
      <c r="N199" s="268"/>
      <c r="O199" s="153"/>
      <c r="P199" s="153"/>
      <c r="Q199" s="153"/>
      <c r="R199" s="153"/>
      <c r="S199" s="153"/>
      <c r="T199" s="171">
        <f>SUM(J199:R199)</f>
        <v>0</v>
      </c>
      <c r="U199" s="154">
        <v>0</v>
      </c>
      <c r="V199" s="236">
        <f t="shared" si="46"/>
        <v>0</v>
      </c>
      <c r="W199" s="153"/>
      <c r="X199" s="153"/>
      <c r="Y199" s="128"/>
      <c r="Z199" s="168"/>
      <c r="AB199" s="88">
        <f t="shared" si="39"/>
        <v>0</v>
      </c>
      <c r="AD199" s="298"/>
      <c r="AE199" s="298"/>
      <c r="AF199" s="298"/>
      <c r="AG199" s="298"/>
      <c r="AH199" s="298"/>
      <c r="AI199" s="298"/>
      <c r="AJ199" s="298">
        <f t="shared" si="44"/>
        <v>0</v>
      </c>
      <c r="AK199" s="298"/>
      <c r="AL199" s="298"/>
      <c r="AM199" s="301"/>
      <c r="AN199" s="301">
        <f t="shared" si="45"/>
        <v>0</v>
      </c>
      <c r="AP199" s="301"/>
      <c r="AQ199" s="301"/>
      <c r="AR199" s="301"/>
      <c r="AS199" s="301"/>
      <c r="AT199" s="301"/>
      <c r="AU199" s="301"/>
      <c r="AV199" s="301"/>
      <c r="AW199" s="301"/>
      <c r="AX199" s="301"/>
      <c r="AY199" s="301"/>
      <c r="AZ199" s="301"/>
      <c r="BA199" s="301"/>
      <c r="BB199" s="301"/>
      <c r="BC199" s="301"/>
      <c r="BD199" s="301"/>
    </row>
    <row r="200" spans="3:56" ht="12.75">
      <c r="C200" s="155"/>
      <c r="D200" s="203"/>
      <c r="E200" s="149"/>
      <c r="F200" s="150"/>
      <c r="G200" s="150"/>
      <c r="H200" s="262"/>
      <c r="I200" s="263"/>
      <c r="J200" s="152"/>
      <c r="K200" s="153"/>
      <c r="L200" s="200"/>
      <c r="M200" s="153"/>
      <c r="N200" s="268"/>
      <c r="O200" s="153"/>
      <c r="P200" s="153"/>
      <c r="Q200" s="153"/>
      <c r="R200" s="153"/>
      <c r="S200" s="153"/>
      <c r="T200" s="171"/>
      <c r="U200" s="154"/>
      <c r="V200" s="236">
        <f t="shared" si="46"/>
        <v>0</v>
      </c>
      <c r="W200" s="153"/>
      <c r="X200" s="153"/>
      <c r="Y200" s="128"/>
      <c r="Z200" s="168"/>
      <c r="AB200" s="88">
        <f t="shared" si="39"/>
        <v>0</v>
      </c>
      <c r="AD200" s="298"/>
      <c r="AE200" s="298"/>
      <c r="AF200" s="298"/>
      <c r="AG200" s="298"/>
      <c r="AH200" s="298"/>
      <c r="AI200" s="298"/>
      <c r="AJ200" s="298">
        <f t="shared" si="44"/>
        <v>0</v>
      </c>
      <c r="AK200" s="298"/>
      <c r="AL200" s="298"/>
      <c r="AM200" s="301"/>
      <c r="AN200" s="301">
        <f t="shared" si="45"/>
        <v>0</v>
      </c>
      <c r="AP200" s="301"/>
      <c r="AQ200" s="301"/>
      <c r="AR200" s="301"/>
      <c r="AS200" s="301"/>
      <c r="AT200" s="301"/>
      <c r="AU200" s="301"/>
      <c r="AV200" s="301"/>
      <c r="AW200" s="301"/>
      <c r="AX200" s="301"/>
      <c r="AY200" s="301"/>
      <c r="AZ200" s="301"/>
      <c r="BA200" s="301"/>
      <c r="BB200" s="301"/>
      <c r="BC200" s="301"/>
      <c r="BD200" s="301"/>
    </row>
    <row r="201" spans="3:56" ht="12.75">
      <c r="C201" s="148" t="s">
        <v>186</v>
      </c>
      <c r="D201" s="252"/>
      <c r="E201" s="149"/>
      <c r="F201" s="150"/>
      <c r="G201" s="150"/>
      <c r="H201" s="262"/>
      <c r="I201" s="263"/>
      <c r="J201" s="152"/>
      <c r="K201" s="153"/>
      <c r="L201" s="200"/>
      <c r="M201" s="153"/>
      <c r="N201" s="268"/>
      <c r="O201" s="153"/>
      <c r="P201" s="153"/>
      <c r="Q201" s="127"/>
      <c r="R201" s="127"/>
      <c r="S201" s="127"/>
      <c r="T201" s="167"/>
      <c r="U201" s="154"/>
      <c r="V201" s="236">
        <f t="shared" si="46"/>
        <v>0</v>
      </c>
      <c r="W201" s="127"/>
      <c r="X201" s="127"/>
      <c r="Y201" s="128"/>
      <c r="Z201" s="168"/>
      <c r="AB201" s="88">
        <f t="shared" si="39"/>
        <v>0</v>
      </c>
      <c r="AD201" s="298"/>
      <c r="AE201" s="298"/>
      <c r="AF201" s="298"/>
      <c r="AG201" s="298"/>
      <c r="AH201" s="298"/>
      <c r="AI201" s="298"/>
      <c r="AJ201" s="298">
        <f t="shared" si="44"/>
        <v>0</v>
      </c>
      <c r="AK201" s="298"/>
      <c r="AL201" s="298"/>
      <c r="AM201" s="301"/>
      <c r="AN201" s="301">
        <f t="shared" si="45"/>
        <v>0</v>
      </c>
      <c r="AP201" s="301"/>
      <c r="AQ201" s="301"/>
      <c r="AR201" s="301"/>
      <c r="AS201" s="301"/>
      <c r="AT201" s="301"/>
      <c r="AU201" s="301"/>
      <c r="AV201" s="301"/>
      <c r="AW201" s="301"/>
      <c r="AX201" s="301"/>
      <c r="AY201" s="301"/>
      <c r="AZ201" s="301"/>
      <c r="BA201" s="301"/>
      <c r="BB201" s="301"/>
      <c r="BC201" s="301"/>
      <c r="BD201" s="301"/>
    </row>
    <row r="202" spans="3:57" ht="12.75">
      <c r="C202" s="155" t="s">
        <v>196</v>
      </c>
      <c r="D202" s="203" t="s">
        <v>380</v>
      </c>
      <c r="E202" s="149"/>
      <c r="F202" s="150">
        <v>7.015</v>
      </c>
      <c r="G202" s="150"/>
      <c r="H202" s="262">
        <v>36923</v>
      </c>
      <c r="I202" s="263">
        <v>38200</v>
      </c>
      <c r="J202" s="152"/>
      <c r="K202" s="153">
        <v>0.055</v>
      </c>
      <c r="L202" s="200">
        <v>0.68</v>
      </c>
      <c r="M202" s="153">
        <v>0.435</v>
      </c>
      <c r="N202" s="268">
        <v>0</v>
      </c>
      <c r="O202" s="153">
        <v>1</v>
      </c>
      <c r="P202" s="153">
        <v>1</v>
      </c>
      <c r="Q202" s="153">
        <v>1</v>
      </c>
      <c r="R202" s="153">
        <v>1</v>
      </c>
      <c r="S202" s="153">
        <v>0.5</v>
      </c>
      <c r="T202" s="171">
        <f>SUM(J202:S202)</f>
        <v>5.67</v>
      </c>
      <c r="U202" s="154">
        <v>2.152</v>
      </c>
      <c r="V202" s="236">
        <f t="shared" si="46"/>
        <v>3.518</v>
      </c>
      <c r="W202" s="153">
        <v>0.5</v>
      </c>
      <c r="X202" s="153">
        <v>0.845</v>
      </c>
      <c r="Y202" s="128"/>
      <c r="Z202" s="168">
        <f>T202+SUM(W202:X202)</f>
        <v>7.015</v>
      </c>
      <c r="AB202" s="88">
        <f t="shared" si="39"/>
        <v>0</v>
      </c>
      <c r="AD202" s="298"/>
      <c r="AE202" s="298">
        <v>0.835</v>
      </c>
      <c r="AF202" s="298"/>
      <c r="AG202" s="298"/>
      <c r="AH202" s="298"/>
      <c r="AI202" s="298"/>
      <c r="AJ202" s="298">
        <f t="shared" si="44"/>
        <v>6.18</v>
      </c>
      <c r="AK202" s="298"/>
      <c r="AL202" s="298"/>
      <c r="AM202" s="301"/>
      <c r="AN202" s="301">
        <f t="shared" si="45"/>
        <v>7.015</v>
      </c>
      <c r="AP202" s="301">
        <f>0.834+5.193+1.298-1.145</f>
        <v>6.18</v>
      </c>
      <c r="AQ202" s="301"/>
      <c r="AR202" s="301"/>
      <c r="AS202" s="301"/>
      <c r="AT202" s="301"/>
      <c r="AU202" s="301"/>
      <c r="AV202" s="301"/>
      <c r="AW202" s="301"/>
      <c r="AX202" s="301"/>
      <c r="AY202" s="301"/>
      <c r="AZ202" s="301"/>
      <c r="BA202" s="301"/>
      <c r="BB202" s="301"/>
      <c r="BC202" s="301"/>
      <c r="BD202" s="301"/>
      <c r="BE202" s="98" t="s">
        <v>597</v>
      </c>
    </row>
    <row r="203" spans="3:56" ht="12.75">
      <c r="C203" s="155" t="s">
        <v>377</v>
      </c>
      <c r="D203" s="203" t="s">
        <v>378</v>
      </c>
      <c r="E203" s="149"/>
      <c r="F203" s="150">
        <v>0.006</v>
      </c>
      <c r="G203" s="150"/>
      <c r="H203" s="262">
        <v>35217</v>
      </c>
      <c r="I203" s="263">
        <v>35886</v>
      </c>
      <c r="J203" s="152"/>
      <c r="K203" s="153"/>
      <c r="L203" s="200"/>
      <c r="M203" s="153"/>
      <c r="N203" s="268">
        <v>0.006</v>
      </c>
      <c r="O203" s="153"/>
      <c r="P203" s="153"/>
      <c r="Q203" s="153"/>
      <c r="R203" s="153"/>
      <c r="S203" s="153"/>
      <c r="T203" s="171">
        <f>SUM(J203:S203)</f>
        <v>0.006</v>
      </c>
      <c r="U203" s="154">
        <v>0.006</v>
      </c>
      <c r="V203" s="236">
        <f t="shared" si="46"/>
        <v>0</v>
      </c>
      <c r="W203" s="153"/>
      <c r="X203" s="153"/>
      <c r="Y203" s="128"/>
      <c r="Z203" s="168">
        <f>T203+SUM(W203:X203)</f>
        <v>0.006</v>
      </c>
      <c r="AB203" s="88">
        <f t="shared" si="39"/>
        <v>0</v>
      </c>
      <c r="AD203" s="298"/>
      <c r="AE203" s="298"/>
      <c r="AF203" s="298"/>
      <c r="AG203" s="298"/>
      <c r="AH203" s="298"/>
      <c r="AI203" s="298"/>
      <c r="AJ203" s="298">
        <f t="shared" si="44"/>
        <v>0</v>
      </c>
      <c r="AK203" s="298"/>
      <c r="AL203" s="298"/>
      <c r="AM203" s="301"/>
      <c r="AN203" s="301">
        <f t="shared" si="45"/>
        <v>0</v>
      </c>
      <c r="AP203" s="301"/>
      <c r="AQ203" s="301"/>
      <c r="AR203" s="301"/>
      <c r="AS203" s="301"/>
      <c r="AT203" s="301"/>
      <c r="AU203" s="301"/>
      <c r="AV203" s="301"/>
      <c r="AW203" s="301"/>
      <c r="AX203" s="301"/>
      <c r="AY203" s="301"/>
      <c r="AZ203" s="301"/>
      <c r="BA203" s="301"/>
      <c r="BB203" s="301"/>
      <c r="BC203" s="301"/>
      <c r="BD203" s="301"/>
    </row>
    <row r="204" spans="3:56" ht="14.25" customHeight="1">
      <c r="C204" s="155" t="s">
        <v>596</v>
      </c>
      <c r="D204" s="203"/>
      <c r="E204" s="149"/>
      <c r="F204" s="150">
        <v>-0.42</v>
      </c>
      <c r="G204" s="150"/>
      <c r="H204" s="123"/>
      <c r="I204" s="151"/>
      <c r="J204" s="152">
        <f>0.556+0.153</f>
        <v>0.7090000000000001</v>
      </c>
      <c r="K204" s="153"/>
      <c r="L204" s="200"/>
      <c r="M204" s="153"/>
      <c r="N204" s="268"/>
      <c r="O204" s="200"/>
      <c r="P204" s="200"/>
      <c r="Q204" s="127"/>
      <c r="R204" s="127"/>
      <c r="S204" s="127"/>
      <c r="T204" s="171">
        <f>SUM(J204:S204)</f>
        <v>0.7090000000000001</v>
      </c>
      <c r="U204" s="153"/>
      <c r="V204" s="236">
        <f t="shared" si="46"/>
        <v>0.7090000000000001</v>
      </c>
      <c r="W204" s="289"/>
      <c r="X204" s="289"/>
      <c r="Y204" s="128"/>
      <c r="Z204" s="168">
        <v>-0.42</v>
      </c>
      <c r="AB204" s="88">
        <f t="shared" si="39"/>
        <v>0</v>
      </c>
      <c r="AD204" s="299">
        <v>4.137</v>
      </c>
      <c r="AE204" s="299"/>
      <c r="AF204" s="299"/>
      <c r="AG204" s="299">
        <v>0.016</v>
      </c>
      <c r="AH204" s="299"/>
      <c r="AI204" s="299"/>
      <c r="AJ204" s="299">
        <f t="shared" si="44"/>
        <v>0</v>
      </c>
      <c r="AK204" s="299"/>
      <c r="AL204" s="299"/>
      <c r="AM204" s="302"/>
      <c r="AN204" s="302">
        <f t="shared" si="45"/>
        <v>4.153</v>
      </c>
      <c r="AP204" s="302"/>
      <c r="AQ204" s="302"/>
      <c r="AR204" s="302"/>
      <c r="AS204" s="302"/>
      <c r="AT204" s="302"/>
      <c r="AU204" s="302"/>
      <c r="AV204" s="302"/>
      <c r="AW204" s="302"/>
      <c r="AX204" s="302"/>
      <c r="AY204" s="302"/>
      <c r="AZ204" s="302"/>
      <c r="BA204" s="302"/>
      <c r="BB204" s="302"/>
      <c r="BC204" s="302"/>
      <c r="BD204" s="302"/>
    </row>
    <row r="205" spans="2:56" s="173" customFormat="1" ht="12.75">
      <c r="B205" s="170"/>
      <c r="C205" s="163" t="s">
        <v>110</v>
      </c>
      <c r="D205" s="255"/>
      <c r="E205" s="164"/>
      <c r="F205" s="165">
        <f>F117+F118+F120+F143+F161+F174+F180+F185+F202+F203+F204</f>
        <v>15.668000000000001</v>
      </c>
      <c r="G205" s="165"/>
      <c r="H205" s="171"/>
      <c r="I205" s="166"/>
      <c r="J205" s="165">
        <f>J117+J118+J120+J143+J161+J174+J180+J185+J202+J203+J204</f>
        <v>0.9740000000000001</v>
      </c>
      <c r="K205" s="165">
        <f>K117+K118+K120+K143+K161+K174+K180+K185+K202+K203+K204</f>
        <v>0.09</v>
      </c>
      <c r="L205" s="165">
        <f>L117+L118+L120+L143+L161+L174+L180+L185+L202+L203+L204</f>
        <v>0.758</v>
      </c>
      <c r="M205" s="165">
        <f>M117+M118+M120+M143+M161+M174+M180+M185+M202+M203+M204</f>
        <v>0.698</v>
      </c>
      <c r="N205" s="165">
        <f aca="true" t="shared" si="50" ref="N205:Z205">N117+N118+N120+N143+N161+N174+N180+N185+N202+N203+N204</f>
        <v>0.332</v>
      </c>
      <c r="O205" s="165">
        <f t="shared" si="50"/>
        <v>1.384</v>
      </c>
      <c r="P205" s="165">
        <f t="shared" si="50"/>
        <v>1.391</v>
      </c>
      <c r="Q205" s="165">
        <f t="shared" si="50"/>
        <v>1.6680000000000001</v>
      </c>
      <c r="R205" s="165">
        <f t="shared" si="50"/>
        <v>1.608</v>
      </c>
      <c r="S205" s="165">
        <f t="shared" si="50"/>
        <v>2.578</v>
      </c>
      <c r="T205" s="165">
        <f t="shared" si="50"/>
        <v>11.481</v>
      </c>
      <c r="U205" s="165">
        <f t="shared" si="50"/>
        <v>4.602</v>
      </c>
      <c r="V205" s="165">
        <f t="shared" si="50"/>
        <v>6.879</v>
      </c>
      <c r="W205" s="165">
        <f t="shared" si="50"/>
        <v>2.6730000000000005</v>
      </c>
      <c r="X205" s="165">
        <f t="shared" si="50"/>
        <v>2.643</v>
      </c>
      <c r="Y205" s="165">
        <f>Y117+Y118+Y120+Y143+Y161+Y174+Y180+Y185+Y202+Y203</f>
        <v>0</v>
      </c>
      <c r="Z205" s="165">
        <f t="shared" si="50"/>
        <v>15.668000000000001</v>
      </c>
      <c r="AA205" s="285"/>
      <c r="AB205" s="88">
        <f t="shared" si="39"/>
        <v>0</v>
      </c>
      <c r="AC205" s="170"/>
      <c r="AD205" s="170">
        <f aca="true" t="shared" si="51" ref="AD205:AM205">SUM(AD117:AD204)</f>
        <v>4.137</v>
      </c>
      <c r="AE205" s="170">
        <f t="shared" si="51"/>
        <v>5.335</v>
      </c>
      <c r="AF205" s="170">
        <f t="shared" si="51"/>
        <v>0</v>
      </c>
      <c r="AG205" s="170">
        <f t="shared" si="51"/>
        <v>0.016</v>
      </c>
      <c r="AH205" s="170">
        <f t="shared" si="51"/>
        <v>0</v>
      </c>
      <c r="AI205" s="170">
        <f t="shared" si="51"/>
        <v>0</v>
      </c>
      <c r="AJ205" s="170">
        <f t="shared" si="51"/>
        <v>6.18</v>
      </c>
      <c r="AK205" s="170">
        <f t="shared" si="51"/>
        <v>0</v>
      </c>
      <c r="AL205" s="170">
        <f t="shared" si="51"/>
        <v>0</v>
      </c>
      <c r="AM205" s="170">
        <f t="shared" si="51"/>
        <v>0</v>
      </c>
      <c r="AN205" s="173">
        <f t="shared" si="45"/>
        <v>15.668</v>
      </c>
      <c r="AP205" s="173">
        <f>SUM(AP117:AP204)</f>
        <v>6.18</v>
      </c>
      <c r="AQ205" s="173">
        <f aca="true" t="shared" si="52" ref="AQ205:BD205">SUM(AQ117:AQ204)</f>
        <v>0</v>
      </c>
      <c r="AR205" s="173">
        <f t="shared" si="52"/>
        <v>0</v>
      </c>
      <c r="AS205" s="173">
        <f t="shared" si="52"/>
        <v>0</v>
      </c>
      <c r="AT205" s="173">
        <f t="shared" si="52"/>
        <v>0</v>
      </c>
      <c r="AU205" s="173">
        <f t="shared" si="52"/>
        <v>0</v>
      </c>
      <c r="AV205" s="173">
        <f t="shared" si="52"/>
        <v>0</v>
      </c>
      <c r="AW205" s="173">
        <f t="shared" si="52"/>
        <v>0</v>
      </c>
      <c r="AX205" s="173">
        <f t="shared" si="52"/>
        <v>0</v>
      </c>
      <c r="AY205" s="173">
        <f t="shared" si="52"/>
        <v>0</v>
      </c>
      <c r="AZ205" s="173">
        <f t="shared" si="52"/>
        <v>0</v>
      </c>
      <c r="BA205" s="173">
        <f t="shared" si="52"/>
        <v>0</v>
      </c>
      <c r="BB205" s="173">
        <f t="shared" si="52"/>
        <v>0</v>
      </c>
      <c r="BC205" s="173">
        <f t="shared" si="52"/>
        <v>0</v>
      </c>
      <c r="BD205" s="173">
        <f t="shared" si="52"/>
        <v>0</v>
      </c>
    </row>
    <row r="206" spans="3:28" ht="12.75">
      <c r="C206" s="155"/>
      <c r="D206" s="203"/>
      <c r="E206" s="149"/>
      <c r="F206" s="150"/>
      <c r="G206" s="150"/>
      <c r="H206" s="123"/>
      <c r="I206" s="151"/>
      <c r="J206" s="152"/>
      <c r="K206" s="153"/>
      <c r="L206" s="200"/>
      <c r="M206" s="153"/>
      <c r="N206" s="153"/>
      <c r="O206" s="153"/>
      <c r="P206" s="153"/>
      <c r="Q206" s="127"/>
      <c r="R206" s="127"/>
      <c r="S206" s="127"/>
      <c r="T206" s="152"/>
      <c r="U206" s="153"/>
      <c r="V206" s="231"/>
      <c r="W206" s="127"/>
      <c r="X206" s="127"/>
      <c r="Y206" s="128"/>
      <c r="Z206" s="168"/>
      <c r="AB206" s="88">
        <f t="shared" si="39"/>
        <v>0</v>
      </c>
    </row>
    <row r="207" spans="3:28" ht="12.75">
      <c r="C207" s="163" t="s">
        <v>18</v>
      </c>
      <c r="D207" s="255"/>
      <c r="E207" s="149"/>
      <c r="F207" s="150"/>
      <c r="G207" s="150"/>
      <c r="H207" s="123"/>
      <c r="I207" s="151"/>
      <c r="J207" s="152"/>
      <c r="K207" s="153"/>
      <c r="L207" s="200"/>
      <c r="M207" s="153"/>
      <c r="N207" s="153"/>
      <c r="O207" s="153"/>
      <c r="P207" s="153"/>
      <c r="Q207" s="127"/>
      <c r="R207" s="127"/>
      <c r="S207" s="127"/>
      <c r="T207" s="152"/>
      <c r="U207" s="153"/>
      <c r="V207" s="231"/>
      <c r="W207" s="127"/>
      <c r="X207" s="127"/>
      <c r="Y207" s="128"/>
      <c r="Z207" s="168"/>
      <c r="AB207" s="88">
        <f aca="true" t="shared" si="53" ref="AB207:AB271">F207-Z207</f>
        <v>0</v>
      </c>
    </row>
    <row r="208" spans="3:28" ht="12.75">
      <c r="C208" s="148" t="s">
        <v>189</v>
      </c>
      <c r="D208" s="252"/>
      <c r="E208" s="149"/>
      <c r="F208" s="150"/>
      <c r="G208" s="150"/>
      <c r="H208" s="123"/>
      <c r="I208" s="151"/>
      <c r="J208" s="152"/>
      <c r="K208" s="153"/>
      <c r="L208" s="200"/>
      <c r="M208" s="153"/>
      <c r="N208" s="153"/>
      <c r="O208" s="153"/>
      <c r="P208" s="153"/>
      <c r="Q208" s="127"/>
      <c r="R208" s="127"/>
      <c r="S208" s="127"/>
      <c r="T208" s="152"/>
      <c r="U208" s="153"/>
      <c r="V208" s="231"/>
      <c r="W208" s="127"/>
      <c r="X208" s="127"/>
      <c r="Y208" s="128"/>
      <c r="Z208" s="168"/>
      <c r="AB208" s="88">
        <f t="shared" si="53"/>
        <v>0</v>
      </c>
    </row>
    <row r="209" spans="3:56" ht="12.75">
      <c r="C209" s="201" t="s">
        <v>219</v>
      </c>
      <c r="D209" s="89"/>
      <c r="E209" s="197"/>
      <c r="F209" s="198">
        <v>0</v>
      </c>
      <c r="G209" s="150"/>
      <c r="H209" s="123"/>
      <c r="I209" s="151"/>
      <c r="J209" s="152"/>
      <c r="K209" s="153"/>
      <c r="L209" s="200"/>
      <c r="M209" s="153"/>
      <c r="N209" s="153"/>
      <c r="O209" s="153"/>
      <c r="P209" s="153"/>
      <c r="Q209" s="127"/>
      <c r="R209" s="127"/>
      <c r="S209" s="127"/>
      <c r="T209" s="171">
        <f>SUM(J209:S209)</f>
        <v>0</v>
      </c>
      <c r="U209" s="285">
        <v>0</v>
      </c>
      <c r="V209" s="236">
        <f aca="true" t="shared" si="54" ref="V209:V232">T209-U209</f>
        <v>0</v>
      </c>
      <c r="W209" s="127"/>
      <c r="X209" s="127"/>
      <c r="Y209" s="128"/>
      <c r="Z209" s="168">
        <f aca="true" t="shared" si="55" ref="Z209:Z232">T209+SUM(W209:X209)</f>
        <v>0</v>
      </c>
      <c r="AB209" s="88">
        <f t="shared" si="53"/>
        <v>0</v>
      </c>
      <c r="AD209" s="297"/>
      <c r="AE209" s="297"/>
      <c r="AF209" s="297"/>
      <c r="AG209" s="297"/>
      <c r="AH209" s="297"/>
      <c r="AI209" s="297"/>
      <c r="AJ209" s="297">
        <f aca="true" t="shared" si="56" ref="AJ209:AJ232">SUM(AP209:BD209)</f>
        <v>0</v>
      </c>
      <c r="AK209" s="297"/>
      <c r="AL209" s="297"/>
      <c r="AM209" s="300"/>
      <c r="AN209" s="300">
        <f aca="true" t="shared" si="57" ref="AN209:AN232">SUM(AD209:AM209)</f>
        <v>0</v>
      </c>
      <c r="AP209" s="300"/>
      <c r="AQ209" s="300"/>
      <c r="AR209" s="300"/>
      <c r="AS209" s="300"/>
      <c r="AT209" s="300"/>
      <c r="AU209" s="300"/>
      <c r="AV209" s="300"/>
      <c r="AW209" s="300"/>
      <c r="AX209" s="300"/>
      <c r="AY209" s="300"/>
      <c r="AZ209" s="300"/>
      <c r="BA209" s="300"/>
      <c r="BB209" s="300"/>
      <c r="BC209" s="300"/>
      <c r="BD209" s="300"/>
    </row>
    <row r="210" spans="3:56" ht="12.75">
      <c r="C210" s="202" t="s">
        <v>457</v>
      </c>
      <c r="D210" s="257"/>
      <c r="E210" s="197"/>
      <c r="F210" s="281">
        <v>0.04</v>
      </c>
      <c r="G210" s="150"/>
      <c r="H210" s="123"/>
      <c r="I210" s="151"/>
      <c r="J210" s="284"/>
      <c r="K210" s="153"/>
      <c r="L210" s="200"/>
      <c r="M210" s="153"/>
      <c r="N210" s="153"/>
      <c r="O210" s="153"/>
      <c r="P210" s="153"/>
      <c r="Q210" s="153"/>
      <c r="R210" s="153"/>
      <c r="S210" s="153">
        <v>0.013</v>
      </c>
      <c r="T210" s="171">
        <f aca="true" t="shared" si="58" ref="T210:T232">SUM(J210:S210)</f>
        <v>0.013</v>
      </c>
      <c r="U210" s="285">
        <v>0.033</v>
      </c>
      <c r="V210" s="236">
        <f t="shared" si="54"/>
        <v>-0.020000000000000004</v>
      </c>
      <c r="W210" s="153">
        <v>0.013</v>
      </c>
      <c r="X210" s="153">
        <v>0.014</v>
      </c>
      <c r="Y210" s="128"/>
      <c r="Z210" s="168">
        <f t="shared" si="55"/>
        <v>0.04</v>
      </c>
      <c r="AB210" s="88">
        <f t="shared" si="53"/>
        <v>0</v>
      </c>
      <c r="AD210" s="298"/>
      <c r="AE210" s="298"/>
      <c r="AF210" s="298">
        <v>0.04</v>
      </c>
      <c r="AG210" s="298"/>
      <c r="AH210" s="298"/>
      <c r="AI210" s="298"/>
      <c r="AJ210" s="298">
        <f t="shared" si="56"/>
        <v>0</v>
      </c>
      <c r="AK210" s="298"/>
      <c r="AL210" s="298"/>
      <c r="AM210" s="301"/>
      <c r="AN210" s="301">
        <f t="shared" si="57"/>
        <v>0.04</v>
      </c>
      <c r="AP210" s="301"/>
      <c r="AQ210" s="301"/>
      <c r="AR210" s="301"/>
      <c r="AS210" s="301"/>
      <c r="AT210" s="301"/>
      <c r="AU210" s="301"/>
      <c r="AV210" s="301"/>
      <c r="AW210" s="301"/>
      <c r="AX210" s="301"/>
      <c r="AY210" s="301"/>
      <c r="AZ210" s="301"/>
      <c r="BA210" s="301"/>
      <c r="BB210" s="301"/>
      <c r="BC210" s="301"/>
      <c r="BD210" s="301"/>
    </row>
    <row r="211" spans="3:57" ht="12.75">
      <c r="C211" s="202" t="s">
        <v>588</v>
      </c>
      <c r="D211" s="257"/>
      <c r="E211" s="197"/>
      <c r="F211" s="281">
        <v>0.06</v>
      </c>
      <c r="G211" s="150"/>
      <c r="H211" s="262">
        <v>38047</v>
      </c>
      <c r="I211" s="263">
        <v>38108</v>
      </c>
      <c r="J211" s="284"/>
      <c r="K211" s="153"/>
      <c r="L211" s="200"/>
      <c r="M211" s="153"/>
      <c r="N211" s="153"/>
      <c r="O211" s="153"/>
      <c r="P211" s="153"/>
      <c r="Q211" s="153"/>
      <c r="R211" s="153"/>
      <c r="S211" s="153"/>
      <c r="T211" s="171">
        <f t="shared" si="58"/>
        <v>0</v>
      </c>
      <c r="U211" s="285">
        <v>0.001</v>
      </c>
      <c r="V211" s="236">
        <f t="shared" si="54"/>
        <v>-0.001</v>
      </c>
      <c r="W211" s="153"/>
      <c r="X211" s="153">
        <v>0.06</v>
      </c>
      <c r="Y211" s="128"/>
      <c r="Z211" s="168">
        <f t="shared" si="55"/>
        <v>0.06</v>
      </c>
      <c r="AD211" s="298"/>
      <c r="AE211" s="298"/>
      <c r="AF211" s="298"/>
      <c r="AG211" s="298"/>
      <c r="AH211" s="298"/>
      <c r="AI211" s="298"/>
      <c r="AJ211" s="298">
        <f t="shared" si="56"/>
        <v>0.06</v>
      </c>
      <c r="AK211" s="298"/>
      <c r="AL211" s="298"/>
      <c r="AM211" s="301"/>
      <c r="AN211" s="301">
        <f t="shared" si="57"/>
        <v>0.06</v>
      </c>
      <c r="AP211" s="301"/>
      <c r="AQ211" s="301"/>
      <c r="AR211" s="301"/>
      <c r="AS211" s="301"/>
      <c r="AT211" s="301"/>
      <c r="AU211" s="301"/>
      <c r="AV211" s="301"/>
      <c r="AW211" s="301"/>
      <c r="AX211" s="301"/>
      <c r="AY211" s="301"/>
      <c r="AZ211" s="301">
        <v>0.06</v>
      </c>
      <c r="BA211" s="301"/>
      <c r="BB211" s="301"/>
      <c r="BC211" s="301"/>
      <c r="BD211" s="301"/>
      <c r="BE211" s="98" t="s">
        <v>611</v>
      </c>
    </row>
    <row r="212" spans="3:57" ht="12.75">
      <c r="C212" s="201" t="s">
        <v>224</v>
      </c>
      <c r="D212" s="89"/>
      <c r="E212" s="197"/>
      <c r="F212" s="198">
        <v>0.04</v>
      </c>
      <c r="G212" s="150"/>
      <c r="H212" s="123"/>
      <c r="I212" s="151"/>
      <c r="J212" s="152"/>
      <c r="K212" s="153"/>
      <c r="L212" s="200"/>
      <c r="M212" s="153"/>
      <c r="N212" s="153"/>
      <c r="O212" s="153"/>
      <c r="P212" s="153">
        <v>0.007</v>
      </c>
      <c r="Q212" s="153">
        <v>0.007</v>
      </c>
      <c r="R212" s="153">
        <v>0.007</v>
      </c>
      <c r="S212" s="153">
        <v>0.007</v>
      </c>
      <c r="T212" s="171">
        <f t="shared" si="58"/>
        <v>0.028</v>
      </c>
      <c r="U212" s="154">
        <v>0.001</v>
      </c>
      <c r="V212" s="236">
        <f t="shared" si="54"/>
        <v>0.027</v>
      </c>
      <c r="W212" s="153">
        <v>0.007</v>
      </c>
      <c r="X212" s="153">
        <v>0.005</v>
      </c>
      <c r="Y212" s="128"/>
      <c r="Z212" s="168">
        <f t="shared" si="55"/>
        <v>0.04</v>
      </c>
      <c r="AB212" s="88">
        <f t="shared" si="53"/>
        <v>0</v>
      </c>
      <c r="AD212" s="298"/>
      <c r="AE212" s="298"/>
      <c r="AF212" s="298"/>
      <c r="AG212" s="298"/>
      <c r="AH212" s="298"/>
      <c r="AI212" s="298"/>
      <c r="AJ212" s="298">
        <f t="shared" si="56"/>
        <v>0.04</v>
      </c>
      <c r="AK212" s="298"/>
      <c r="AL212" s="298"/>
      <c r="AM212" s="301"/>
      <c r="AN212" s="301">
        <f t="shared" si="57"/>
        <v>0.04</v>
      </c>
      <c r="AP212" s="301"/>
      <c r="AQ212" s="301"/>
      <c r="AR212" s="301"/>
      <c r="AS212" s="301"/>
      <c r="AT212" s="301"/>
      <c r="AU212" s="301"/>
      <c r="AV212" s="301"/>
      <c r="AW212" s="301"/>
      <c r="AX212" s="301"/>
      <c r="AY212" s="301"/>
      <c r="AZ212" s="301">
        <v>0.04</v>
      </c>
      <c r="BA212" s="301"/>
      <c r="BB212" s="301"/>
      <c r="BC212" s="301"/>
      <c r="BD212" s="301"/>
      <c r="BE212" s="98" t="s">
        <v>537</v>
      </c>
    </row>
    <row r="213" spans="3:56" ht="12.75">
      <c r="C213" s="201" t="s">
        <v>218</v>
      </c>
      <c r="D213" s="89"/>
      <c r="E213" s="197"/>
      <c r="F213" s="198">
        <v>0.037</v>
      </c>
      <c r="G213" s="150"/>
      <c r="H213" s="123"/>
      <c r="I213" s="151"/>
      <c r="J213" s="152"/>
      <c r="K213" s="153"/>
      <c r="L213" s="200"/>
      <c r="M213" s="153"/>
      <c r="N213" s="153"/>
      <c r="O213" s="153"/>
      <c r="P213" s="153"/>
      <c r="Q213" s="127"/>
      <c r="R213" s="127"/>
      <c r="S213" s="127"/>
      <c r="T213" s="171">
        <f t="shared" si="58"/>
        <v>0</v>
      </c>
      <c r="U213" s="154">
        <v>0</v>
      </c>
      <c r="V213" s="236">
        <f t="shared" si="54"/>
        <v>0</v>
      </c>
      <c r="W213" s="127"/>
      <c r="X213" s="127">
        <v>0.037</v>
      </c>
      <c r="Y213" s="128"/>
      <c r="Z213" s="168">
        <f t="shared" si="55"/>
        <v>0.037</v>
      </c>
      <c r="AB213" s="88">
        <f t="shared" si="53"/>
        <v>0</v>
      </c>
      <c r="AD213" s="298">
        <v>0.037</v>
      </c>
      <c r="AE213" s="298"/>
      <c r="AF213" s="298"/>
      <c r="AG213" s="298"/>
      <c r="AH213" s="298"/>
      <c r="AI213" s="298"/>
      <c r="AJ213" s="298">
        <f t="shared" si="56"/>
        <v>0</v>
      </c>
      <c r="AK213" s="298"/>
      <c r="AL213" s="298"/>
      <c r="AM213" s="301"/>
      <c r="AN213" s="301">
        <f t="shared" si="57"/>
        <v>0.037</v>
      </c>
      <c r="AP213" s="301"/>
      <c r="AQ213" s="301"/>
      <c r="AR213" s="301"/>
      <c r="AS213" s="301"/>
      <c r="AT213" s="301"/>
      <c r="AU213" s="301"/>
      <c r="AV213" s="301"/>
      <c r="AW213" s="301"/>
      <c r="AX213" s="301"/>
      <c r="AY213" s="301"/>
      <c r="AZ213" s="301"/>
      <c r="BA213" s="301"/>
      <c r="BB213" s="301"/>
      <c r="BC213" s="301"/>
      <c r="BD213" s="301"/>
    </row>
    <row r="214" spans="3:56" ht="12.75">
      <c r="C214" s="202" t="s">
        <v>246</v>
      </c>
      <c r="D214" s="257"/>
      <c r="E214" s="197"/>
      <c r="F214" s="281">
        <v>0.013</v>
      </c>
      <c r="G214" s="150"/>
      <c r="H214" s="123"/>
      <c r="I214" s="151"/>
      <c r="J214" s="284">
        <v>0.013</v>
      </c>
      <c r="K214" s="153"/>
      <c r="L214" s="200"/>
      <c r="M214" s="153"/>
      <c r="N214" s="153"/>
      <c r="O214" s="153"/>
      <c r="P214" s="153"/>
      <c r="Q214" s="153"/>
      <c r="R214" s="153"/>
      <c r="S214" s="200"/>
      <c r="T214" s="171">
        <f t="shared" si="58"/>
        <v>0.013</v>
      </c>
      <c r="U214" s="172">
        <v>0.03</v>
      </c>
      <c r="V214" s="236">
        <f t="shared" si="54"/>
        <v>-0.017</v>
      </c>
      <c r="W214" s="153"/>
      <c r="X214" s="153"/>
      <c r="Y214" s="128"/>
      <c r="Z214" s="168">
        <f t="shared" si="55"/>
        <v>0.013</v>
      </c>
      <c r="AB214" s="88">
        <f t="shared" si="53"/>
        <v>0</v>
      </c>
      <c r="AD214" s="298"/>
      <c r="AE214" s="298"/>
      <c r="AF214" s="298"/>
      <c r="AG214" s="298">
        <v>0.013</v>
      </c>
      <c r="AH214" s="298"/>
      <c r="AI214" s="298"/>
      <c r="AJ214" s="298">
        <f t="shared" si="56"/>
        <v>0</v>
      </c>
      <c r="AK214" s="298"/>
      <c r="AL214" s="298"/>
      <c r="AM214" s="301"/>
      <c r="AN214" s="301">
        <f t="shared" si="57"/>
        <v>0.013</v>
      </c>
      <c r="AP214" s="301"/>
      <c r="AQ214" s="301"/>
      <c r="AR214" s="301"/>
      <c r="AS214" s="301"/>
      <c r="AT214" s="301"/>
      <c r="AU214" s="301"/>
      <c r="AV214" s="301"/>
      <c r="AW214" s="301"/>
      <c r="AX214" s="301"/>
      <c r="AY214" s="301"/>
      <c r="AZ214" s="301"/>
      <c r="BA214" s="301"/>
      <c r="BB214" s="301"/>
      <c r="BC214" s="301"/>
      <c r="BD214" s="301"/>
    </row>
    <row r="215" spans="3:56" ht="12.75">
      <c r="C215" s="202" t="s">
        <v>246</v>
      </c>
      <c r="D215" s="257"/>
      <c r="E215" s="197"/>
      <c r="F215" s="281">
        <v>0.003</v>
      </c>
      <c r="G215" s="150"/>
      <c r="H215" s="123"/>
      <c r="I215" s="151"/>
      <c r="J215" s="284"/>
      <c r="K215" s="153"/>
      <c r="L215" s="200"/>
      <c r="M215" s="153"/>
      <c r="N215" s="153"/>
      <c r="O215" s="153"/>
      <c r="P215" s="153"/>
      <c r="Q215" s="153"/>
      <c r="R215" s="153"/>
      <c r="S215" s="200"/>
      <c r="T215" s="171">
        <f t="shared" si="58"/>
        <v>0</v>
      </c>
      <c r="U215" s="172">
        <f>SUM(K215:T215)</f>
        <v>0</v>
      </c>
      <c r="V215" s="236">
        <f t="shared" si="54"/>
        <v>0</v>
      </c>
      <c r="W215" s="153"/>
      <c r="X215" s="153">
        <v>0.003</v>
      </c>
      <c r="Y215" s="128"/>
      <c r="Z215" s="168">
        <f t="shared" si="55"/>
        <v>0.003</v>
      </c>
      <c r="AB215" s="88">
        <f t="shared" si="53"/>
        <v>0</v>
      </c>
      <c r="AD215" s="298"/>
      <c r="AE215" s="298"/>
      <c r="AF215" s="298">
        <v>0.003</v>
      </c>
      <c r="AG215" s="298"/>
      <c r="AH215" s="298"/>
      <c r="AI215" s="298"/>
      <c r="AJ215" s="298">
        <f t="shared" si="56"/>
        <v>0</v>
      </c>
      <c r="AK215" s="298"/>
      <c r="AL215" s="298"/>
      <c r="AM215" s="301"/>
      <c r="AN215" s="301">
        <f t="shared" si="57"/>
        <v>0.003</v>
      </c>
      <c r="AP215" s="301"/>
      <c r="AQ215" s="301"/>
      <c r="AR215" s="301"/>
      <c r="AS215" s="301"/>
      <c r="AT215" s="301"/>
      <c r="AU215" s="301"/>
      <c r="AV215" s="301"/>
      <c r="AW215" s="301"/>
      <c r="AX215" s="301"/>
      <c r="AY215" s="301"/>
      <c r="AZ215" s="301"/>
      <c r="BA215" s="301"/>
      <c r="BB215" s="301"/>
      <c r="BC215" s="301"/>
      <c r="BD215" s="301"/>
    </row>
    <row r="216" spans="3:56" ht="12.75">
      <c r="C216" s="201" t="s">
        <v>216</v>
      </c>
      <c r="D216" s="89"/>
      <c r="E216" s="197"/>
      <c r="F216" s="198">
        <v>0.075</v>
      </c>
      <c r="G216" s="150"/>
      <c r="H216" s="123"/>
      <c r="I216" s="151"/>
      <c r="J216" s="152"/>
      <c r="K216" s="153"/>
      <c r="L216" s="200"/>
      <c r="M216" s="153">
        <v>0.025</v>
      </c>
      <c r="N216" s="153">
        <v>0.025</v>
      </c>
      <c r="O216" s="153">
        <v>0.025</v>
      </c>
      <c r="P216" s="153"/>
      <c r="Q216" s="127"/>
      <c r="R216" s="127"/>
      <c r="S216" s="127"/>
      <c r="T216" s="171">
        <f t="shared" si="58"/>
        <v>0.07500000000000001</v>
      </c>
      <c r="U216" s="154">
        <v>0.03</v>
      </c>
      <c r="V216" s="236">
        <f t="shared" si="54"/>
        <v>0.04500000000000001</v>
      </c>
      <c r="W216" s="127"/>
      <c r="X216" s="127"/>
      <c r="Y216" s="128"/>
      <c r="Z216" s="168">
        <f t="shared" si="55"/>
        <v>0.07500000000000001</v>
      </c>
      <c r="AB216" s="88">
        <f t="shared" si="53"/>
        <v>0</v>
      </c>
      <c r="AD216" s="298">
        <v>0.02</v>
      </c>
      <c r="AE216" s="298"/>
      <c r="AF216" s="298">
        <v>0.055</v>
      </c>
      <c r="AG216" s="298"/>
      <c r="AH216" s="298"/>
      <c r="AI216" s="298"/>
      <c r="AJ216" s="298">
        <f t="shared" si="56"/>
        <v>0</v>
      </c>
      <c r="AK216" s="298"/>
      <c r="AL216" s="298"/>
      <c r="AM216" s="301"/>
      <c r="AN216" s="301">
        <f t="shared" si="57"/>
        <v>0.075</v>
      </c>
      <c r="AP216" s="301"/>
      <c r="AQ216" s="301"/>
      <c r="AR216" s="301"/>
      <c r="AS216" s="301"/>
      <c r="AT216" s="301"/>
      <c r="AU216" s="301"/>
      <c r="AV216" s="301"/>
      <c r="AW216" s="301"/>
      <c r="AX216" s="301"/>
      <c r="AY216" s="301"/>
      <c r="AZ216" s="301"/>
      <c r="BA216" s="301"/>
      <c r="BB216" s="301"/>
      <c r="BC216" s="301"/>
      <c r="BD216" s="301"/>
    </row>
    <row r="217" spans="3:56" ht="12.75">
      <c r="C217" s="201" t="s">
        <v>222</v>
      </c>
      <c r="D217" s="89"/>
      <c r="E217" s="197"/>
      <c r="F217" s="198"/>
      <c r="G217" s="150"/>
      <c r="H217" s="123"/>
      <c r="I217" s="151"/>
      <c r="J217" s="152"/>
      <c r="K217" s="153"/>
      <c r="L217" s="200"/>
      <c r="M217" s="153"/>
      <c r="N217" s="153"/>
      <c r="O217" s="153"/>
      <c r="P217" s="153"/>
      <c r="Q217" s="127"/>
      <c r="R217" s="127"/>
      <c r="S217" s="127"/>
      <c r="T217" s="171">
        <f t="shared" si="58"/>
        <v>0</v>
      </c>
      <c r="U217" s="154">
        <v>0</v>
      </c>
      <c r="V217" s="236">
        <f t="shared" si="54"/>
        <v>0</v>
      </c>
      <c r="W217" s="127"/>
      <c r="X217" s="127"/>
      <c r="Y217" s="128"/>
      <c r="Z217" s="168">
        <f t="shared" si="55"/>
        <v>0</v>
      </c>
      <c r="AB217" s="88">
        <f t="shared" si="53"/>
        <v>0</v>
      </c>
      <c r="AD217" s="298"/>
      <c r="AE217" s="298"/>
      <c r="AF217" s="298"/>
      <c r="AG217" s="298"/>
      <c r="AH217" s="298"/>
      <c r="AI217" s="298"/>
      <c r="AJ217" s="298">
        <f t="shared" si="56"/>
        <v>0</v>
      </c>
      <c r="AK217" s="298"/>
      <c r="AL217" s="298"/>
      <c r="AM217" s="301"/>
      <c r="AN217" s="301">
        <f t="shared" si="57"/>
        <v>0</v>
      </c>
      <c r="AP217" s="301"/>
      <c r="AQ217" s="301"/>
      <c r="AR217" s="301"/>
      <c r="AS217" s="301"/>
      <c r="AT217" s="301"/>
      <c r="AU217" s="301"/>
      <c r="AV217" s="301"/>
      <c r="AW217" s="301"/>
      <c r="AX217" s="301"/>
      <c r="AY217" s="301"/>
      <c r="AZ217" s="301"/>
      <c r="BA217" s="301"/>
      <c r="BB217" s="301"/>
      <c r="BC217" s="301"/>
      <c r="BD217" s="301"/>
    </row>
    <row r="218" spans="3:57" ht="12.75">
      <c r="C218" s="201" t="s">
        <v>220</v>
      </c>
      <c r="D218" s="89"/>
      <c r="E218" s="197"/>
      <c r="F218" s="198">
        <v>0.085</v>
      </c>
      <c r="G218" s="150"/>
      <c r="H218" s="123"/>
      <c r="I218" s="151"/>
      <c r="J218" s="152"/>
      <c r="K218" s="153"/>
      <c r="L218" s="200"/>
      <c r="M218" s="153">
        <v>0.006</v>
      </c>
      <c r="N218" s="153">
        <v>0.006</v>
      </c>
      <c r="O218" s="153">
        <v>0.006</v>
      </c>
      <c r="P218" s="153">
        <v>0.006</v>
      </c>
      <c r="Q218" s="153">
        <v>0.006</v>
      </c>
      <c r="R218" s="153">
        <v>0.006</v>
      </c>
      <c r="S218" s="153">
        <v>0.016</v>
      </c>
      <c r="T218" s="171">
        <f t="shared" si="58"/>
        <v>0.052</v>
      </c>
      <c r="U218" s="154">
        <v>0</v>
      </c>
      <c r="V218" s="236">
        <f t="shared" si="54"/>
        <v>0.052</v>
      </c>
      <c r="W218" s="153">
        <v>0.016</v>
      </c>
      <c r="X218" s="153">
        <v>0.017</v>
      </c>
      <c r="Y218" s="128"/>
      <c r="Z218" s="168">
        <f t="shared" si="55"/>
        <v>0.08499999999999999</v>
      </c>
      <c r="AB218" s="88">
        <f t="shared" si="53"/>
        <v>0</v>
      </c>
      <c r="AD218" s="298">
        <v>0.06</v>
      </c>
      <c r="AE218" s="298"/>
      <c r="AF218" s="298"/>
      <c r="AG218" s="298"/>
      <c r="AH218" s="298"/>
      <c r="AI218" s="298"/>
      <c r="AJ218" s="298">
        <f t="shared" si="56"/>
        <v>0</v>
      </c>
      <c r="AK218" s="298"/>
      <c r="AL218" s="298"/>
      <c r="AM218" s="301">
        <v>0.025</v>
      </c>
      <c r="AN218" s="301">
        <f t="shared" si="57"/>
        <v>0.08499999999999999</v>
      </c>
      <c r="AP218" s="301"/>
      <c r="AQ218" s="301"/>
      <c r="AR218" s="301"/>
      <c r="AS218" s="301"/>
      <c r="AT218" s="301"/>
      <c r="AU218" s="301"/>
      <c r="AV218" s="301"/>
      <c r="AW218" s="301"/>
      <c r="AX218" s="301"/>
      <c r="AY218" s="301"/>
      <c r="AZ218" s="301"/>
      <c r="BA218" s="301"/>
      <c r="BB218" s="301"/>
      <c r="BC218" s="301"/>
      <c r="BD218" s="301"/>
      <c r="BE218" s="98" t="s">
        <v>570</v>
      </c>
    </row>
    <row r="219" spans="3:56" ht="12.75">
      <c r="C219" s="202" t="s">
        <v>455</v>
      </c>
      <c r="D219" s="257"/>
      <c r="E219" s="197"/>
      <c r="F219" s="281">
        <v>0.02</v>
      </c>
      <c r="G219" s="150"/>
      <c r="H219" s="123"/>
      <c r="I219" s="151"/>
      <c r="J219" s="284"/>
      <c r="K219" s="153"/>
      <c r="L219" s="200"/>
      <c r="M219" s="153"/>
      <c r="N219" s="153"/>
      <c r="O219" s="153"/>
      <c r="P219" s="153"/>
      <c r="Q219" s="153"/>
      <c r="R219" s="153"/>
      <c r="S219" s="153"/>
      <c r="T219" s="171">
        <f t="shared" si="58"/>
        <v>0</v>
      </c>
      <c r="U219" s="154">
        <v>0</v>
      </c>
      <c r="V219" s="236">
        <f t="shared" si="54"/>
        <v>0</v>
      </c>
      <c r="W219" s="153"/>
      <c r="X219" s="153">
        <v>0.02</v>
      </c>
      <c r="Y219" s="128"/>
      <c r="Z219" s="168">
        <f t="shared" si="55"/>
        <v>0.02</v>
      </c>
      <c r="AB219" s="88">
        <f t="shared" si="53"/>
        <v>0</v>
      </c>
      <c r="AD219" s="298">
        <v>0.02</v>
      </c>
      <c r="AE219" s="298"/>
      <c r="AF219" s="298"/>
      <c r="AG219" s="298"/>
      <c r="AH219" s="298"/>
      <c r="AI219" s="298"/>
      <c r="AJ219" s="298">
        <f t="shared" si="56"/>
        <v>0</v>
      </c>
      <c r="AK219" s="298"/>
      <c r="AL219" s="298"/>
      <c r="AM219" s="301"/>
      <c r="AN219" s="301">
        <f t="shared" si="57"/>
        <v>0.02</v>
      </c>
      <c r="AP219" s="301"/>
      <c r="AQ219" s="301"/>
      <c r="AR219" s="301"/>
      <c r="AS219" s="301"/>
      <c r="AT219" s="301"/>
      <c r="AU219" s="301"/>
      <c r="AV219" s="301"/>
      <c r="AW219" s="301"/>
      <c r="AX219" s="301"/>
      <c r="AY219" s="301"/>
      <c r="AZ219" s="301"/>
      <c r="BA219" s="301"/>
      <c r="BB219" s="301"/>
      <c r="BC219" s="301"/>
      <c r="BD219" s="301"/>
    </row>
    <row r="220" spans="3:56" ht="12.75">
      <c r="C220" s="202" t="s">
        <v>402</v>
      </c>
      <c r="D220" s="257"/>
      <c r="E220" s="197"/>
      <c r="F220" s="281">
        <v>0.075</v>
      </c>
      <c r="G220" s="150"/>
      <c r="H220" s="123"/>
      <c r="I220" s="151"/>
      <c r="J220" s="284"/>
      <c r="K220" s="153"/>
      <c r="L220" s="200"/>
      <c r="M220" s="153"/>
      <c r="N220" s="153">
        <v>0.037</v>
      </c>
      <c r="O220" s="153">
        <v>0.038</v>
      </c>
      <c r="P220" s="153"/>
      <c r="Q220" s="153"/>
      <c r="R220" s="153"/>
      <c r="S220" s="153"/>
      <c r="T220" s="171">
        <f t="shared" si="58"/>
        <v>0.075</v>
      </c>
      <c r="U220" s="154">
        <v>0.09</v>
      </c>
      <c r="V220" s="236">
        <f t="shared" si="54"/>
        <v>-0.015</v>
      </c>
      <c r="W220" s="153"/>
      <c r="X220" s="153"/>
      <c r="Y220" s="128"/>
      <c r="Z220" s="168">
        <f t="shared" si="55"/>
        <v>0.075</v>
      </c>
      <c r="AB220" s="88">
        <f t="shared" si="53"/>
        <v>0</v>
      </c>
      <c r="AD220" s="298"/>
      <c r="AE220" s="298"/>
      <c r="AF220" s="298">
        <v>0.059</v>
      </c>
      <c r="AG220" s="298">
        <v>0.016</v>
      </c>
      <c r="AH220" s="298"/>
      <c r="AI220" s="298"/>
      <c r="AJ220" s="298">
        <f t="shared" si="56"/>
        <v>0</v>
      </c>
      <c r="AK220" s="298"/>
      <c r="AL220" s="298"/>
      <c r="AM220" s="301"/>
      <c r="AN220" s="301">
        <f t="shared" si="57"/>
        <v>0.075</v>
      </c>
      <c r="AP220" s="301"/>
      <c r="AQ220" s="301"/>
      <c r="AR220" s="301"/>
      <c r="AS220" s="301"/>
      <c r="AT220" s="301"/>
      <c r="AU220" s="301"/>
      <c r="AV220" s="301"/>
      <c r="AW220" s="301"/>
      <c r="AX220" s="301"/>
      <c r="AY220" s="301"/>
      <c r="AZ220" s="301"/>
      <c r="BA220" s="301"/>
      <c r="BB220" s="301"/>
      <c r="BC220" s="301"/>
      <c r="BD220" s="301"/>
    </row>
    <row r="221" spans="3:57" ht="12.75">
      <c r="C221" s="202" t="s">
        <v>225</v>
      </c>
      <c r="D221" s="257"/>
      <c r="E221" s="197"/>
      <c r="F221" s="281">
        <v>0.053</v>
      </c>
      <c r="G221" s="150"/>
      <c r="H221" s="123"/>
      <c r="I221" s="151"/>
      <c r="J221" s="152"/>
      <c r="K221" s="153"/>
      <c r="L221" s="200"/>
      <c r="M221" s="153">
        <v>0.006</v>
      </c>
      <c r="N221" s="153">
        <v>0.006</v>
      </c>
      <c r="O221" s="153">
        <v>0.006</v>
      </c>
      <c r="P221" s="153">
        <v>0.006</v>
      </c>
      <c r="Q221" s="153">
        <v>0.006</v>
      </c>
      <c r="R221" s="153">
        <v>0.006</v>
      </c>
      <c r="S221" s="153">
        <v>0.006</v>
      </c>
      <c r="T221" s="171">
        <f t="shared" si="58"/>
        <v>0.041999999999999996</v>
      </c>
      <c r="U221" s="154">
        <v>0.002</v>
      </c>
      <c r="V221" s="236">
        <f t="shared" si="54"/>
        <v>0.039999999999999994</v>
      </c>
      <c r="W221" s="153">
        <v>0.006</v>
      </c>
      <c r="X221" s="153">
        <v>0.005</v>
      </c>
      <c r="Y221" s="128"/>
      <c r="Z221" s="168">
        <f t="shared" si="55"/>
        <v>0.05299999999999999</v>
      </c>
      <c r="AB221" s="88">
        <f t="shared" si="53"/>
        <v>0</v>
      </c>
      <c r="AD221" s="298"/>
      <c r="AE221" s="298"/>
      <c r="AF221" s="298"/>
      <c r="AG221" s="298"/>
      <c r="AH221" s="298"/>
      <c r="AI221" s="298"/>
      <c r="AJ221" s="298">
        <f t="shared" si="56"/>
        <v>0.053</v>
      </c>
      <c r="AK221" s="298"/>
      <c r="AL221" s="298"/>
      <c r="AM221" s="301"/>
      <c r="AN221" s="301">
        <f t="shared" si="57"/>
        <v>0.053</v>
      </c>
      <c r="AP221" s="301"/>
      <c r="AQ221" s="301"/>
      <c r="AR221" s="301"/>
      <c r="AS221" s="301"/>
      <c r="AT221" s="301"/>
      <c r="AU221" s="301"/>
      <c r="AV221" s="301"/>
      <c r="AW221" s="301"/>
      <c r="AX221" s="301"/>
      <c r="AY221" s="301"/>
      <c r="AZ221" s="301"/>
      <c r="BA221" s="301"/>
      <c r="BB221" s="301"/>
      <c r="BC221" s="301"/>
      <c r="BD221" s="301">
        <v>0.053</v>
      </c>
      <c r="BE221" s="98" t="s">
        <v>536</v>
      </c>
    </row>
    <row r="222" spans="3:57" ht="12.75">
      <c r="C222" s="269" t="s">
        <v>404</v>
      </c>
      <c r="D222" s="203"/>
      <c r="E222" s="279"/>
      <c r="F222" s="280">
        <v>0.072</v>
      </c>
      <c r="G222" s="150"/>
      <c r="H222" s="123"/>
      <c r="I222" s="151"/>
      <c r="J222" s="152">
        <v>0.005</v>
      </c>
      <c r="K222" s="153">
        <v>0.005</v>
      </c>
      <c r="L222" s="200">
        <v>0.005</v>
      </c>
      <c r="M222" s="153">
        <v>0.005</v>
      </c>
      <c r="N222" s="153">
        <v>0.005</v>
      </c>
      <c r="O222" s="153">
        <v>0.007</v>
      </c>
      <c r="P222" s="153">
        <v>0.007</v>
      </c>
      <c r="Q222" s="153">
        <v>0.007</v>
      </c>
      <c r="R222" s="153">
        <v>0.007</v>
      </c>
      <c r="S222" s="153">
        <v>0.007</v>
      </c>
      <c r="T222" s="171">
        <f t="shared" si="58"/>
        <v>0.06</v>
      </c>
      <c r="U222" s="131">
        <v>0.037</v>
      </c>
      <c r="V222" s="236">
        <f t="shared" si="54"/>
        <v>0.023</v>
      </c>
      <c r="W222" s="153">
        <v>0.007</v>
      </c>
      <c r="X222" s="153">
        <v>0.005</v>
      </c>
      <c r="Y222" s="128"/>
      <c r="Z222" s="168">
        <f t="shared" si="55"/>
        <v>0.072</v>
      </c>
      <c r="AB222" s="88">
        <f t="shared" si="53"/>
        <v>0</v>
      </c>
      <c r="AD222" s="298"/>
      <c r="AE222" s="298"/>
      <c r="AF222" s="298"/>
      <c r="AG222" s="298"/>
      <c r="AH222" s="298"/>
      <c r="AI222" s="298"/>
      <c r="AJ222" s="298">
        <f t="shared" si="56"/>
        <v>0.072</v>
      </c>
      <c r="AK222" s="298"/>
      <c r="AL222" s="298"/>
      <c r="AM222" s="301"/>
      <c r="AN222" s="301">
        <f t="shared" si="57"/>
        <v>0.072</v>
      </c>
      <c r="AP222" s="301"/>
      <c r="AQ222" s="301"/>
      <c r="AR222" s="301"/>
      <c r="AS222" s="301"/>
      <c r="AT222" s="301"/>
      <c r="AU222" s="301"/>
      <c r="AV222" s="301"/>
      <c r="AW222" s="301"/>
      <c r="AX222" s="301"/>
      <c r="AY222" s="301"/>
      <c r="AZ222" s="301"/>
      <c r="BA222" s="301"/>
      <c r="BB222" s="301"/>
      <c r="BC222" s="301"/>
      <c r="BD222" s="301">
        <v>0.072</v>
      </c>
      <c r="BE222" s="98" t="s">
        <v>535</v>
      </c>
    </row>
    <row r="223" spans="3:57" ht="12.75">
      <c r="C223" s="155" t="s">
        <v>226</v>
      </c>
      <c r="D223" s="203"/>
      <c r="E223" s="279"/>
      <c r="F223" s="280">
        <f>0.11+0.079+0.04</f>
        <v>0.229</v>
      </c>
      <c r="G223" s="151"/>
      <c r="H223" s="123"/>
      <c r="I223" s="151"/>
      <c r="J223" s="283"/>
      <c r="K223" s="153">
        <v>0.079</v>
      </c>
      <c r="L223" s="200">
        <v>0.016</v>
      </c>
      <c r="M223" s="153"/>
      <c r="N223" s="153"/>
      <c r="O223" s="153"/>
      <c r="P223" s="153"/>
      <c r="Q223" s="127"/>
      <c r="R223" s="127"/>
      <c r="S223" s="127"/>
      <c r="T223" s="171">
        <f t="shared" si="58"/>
        <v>0.095</v>
      </c>
      <c r="U223" s="154">
        <v>0.051</v>
      </c>
      <c r="V223" s="236">
        <f t="shared" si="54"/>
        <v>0.044000000000000004</v>
      </c>
      <c r="W223" s="127">
        <v>0.05</v>
      </c>
      <c r="X223" s="127">
        <v>0.084</v>
      </c>
      <c r="Y223" s="128"/>
      <c r="Z223" s="168">
        <f t="shared" si="55"/>
        <v>0.229</v>
      </c>
      <c r="AB223" s="88">
        <f t="shared" si="53"/>
        <v>0</v>
      </c>
      <c r="AD223" s="298"/>
      <c r="AE223" s="298">
        <v>0.189</v>
      </c>
      <c r="AF223" s="298"/>
      <c r="AG223" s="298"/>
      <c r="AH223" s="298"/>
      <c r="AI223" s="298"/>
      <c r="AJ223" s="298">
        <f t="shared" si="56"/>
        <v>0</v>
      </c>
      <c r="AK223" s="298"/>
      <c r="AL223" s="298"/>
      <c r="AM223" s="301">
        <v>0.04</v>
      </c>
      <c r="AN223" s="301">
        <f t="shared" si="57"/>
        <v>0.229</v>
      </c>
      <c r="AP223" s="301"/>
      <c r="AQ223" s="301"/>
      <c r="AR223" s="301"/>
      <c r="AS223" s="301"/>
      <c r="AT223" s="301"/>
      <c r="AU223" s="301"/>
      <c r="AV223" s="301"/>
      <c r="AW223" s="301"/>
      <c r="AX223" s="301"/>
      <c r="AY223" s="301"/>
      <c r="AZ223" s="301"/>
      <c r="BA223" s="301"/>
      <c r="BB223" s="301"/>
      <c r="BC223" s="301"/>
      <c r="BD223" s="301"/>
      <c r="BE223" s="98" t="s">
        <v>530</v>
      </c>
    </row>
    <row r="224" spans="3:57" ht="12.75">
      <c r="C224" s="155" t="s">
        <v>197</v>
      </c>
      <c r="D224" s="203"/>
      <c r="E224" s="279"/>
      <c r="F224" s="280">
        <v>0.151</v>
      </c>
      <c r="G224" s="151"/>
      <c r="H224" s="123"/>
      <c r="I224" s="151"/>
      <c r="J224" s="283">
        <v>0.008</v>
      </c>
      <c r="K224" s="153">
        <v>0.008</v>
      </c>
      <c r="L224" s="200">
        <v>0.008</v>
      </c>
      <c r="M224" s="153">
        <v>0.008</v>
      </c>
      <c r="N224" s="153">
        <v>0.008</v>
      </c>
      <c r="O224" s="153">
        <v>0.016</v>
      </c>
      <c r="P224" s="153">
        <v>0.016</v>
      </c>
      <c r="Q224" s="153">
        <v>0.016</v>
      </c>
      <c r="R224" s="153">
        <v>0.016</v>
      </c>
      <c r="S224" s="153">
        <v>0.016</v>
      </c>
      <c r="T224" s="171">
        <f t="shared" si="58"/>
        <v>0.12000000000000001</v>
      </c>
      <c r="U224" s="131">
        <v>0.187</v>
      </c>
      <c r="V224" s="236">
        <f t="shared" si="54"/>
        <v>-0.06699999999999999</v>
      </c>
      <c r="W224" s="153">
        <v>0.016</v>
      </c>
      <c r="X224" s="153">
        <v>0.015</v>
      </c>
      <c r="Y224" s="128"/>
      <c r="Z224" s="168">
        <f t="shared" si="55"/>
        <v>0.15100000000000002</v>
      </c>
      <c r="AB224" s="88">
        <f t="shared" si="53"/>
        <v>0</v>
      </c>
      <c r="AD224" s="298"/>
      <c r="AE224" s="298"/>
      <c r="AF224" s="298"/>
      <c r="AG224" s="298"/>
      <c r="AH224" s="298"/>
      <c r="AI224" s="298"/>
      <c r="AJ224" s="298">
        <f t="shared" si="56"/>
        <v>0.151</v>
      </c>
      <c r="AK224" s="298"/>
      <c r="AL224" s="298"/>
      <c r="AM224" s="301"/>
      <c r="AN224" s="301">
        <f t="shared" si="57"/>
        <v>0.151</v>
      </c>
      <c r="AP224" s="301"/>
      <c r="AQ224" s="301"/>
      <c r="AR224" s="301"/>
      <c r="AS224" s="301"/>
      <c r="AT224" s="301"/>
      <c r="AU224" s="301"/>
      <c r="AV224" s="301"/>
      <c r="AW224" s="301"/>
      <c r="AX224" s="301"/>
      <c r="AY224" s="301"/>
      <c r="AZ224" s="301"/>
      <c r="BA224" s="301"/>
      <c r="BB224" s="301"/>
      <c r="BC224" s="301"/>
      <c r="BD224" s="301">
        <v>0.151</v>
      </c>
      <c r="BE224" s="98" t="s">
        <v>535</v>
      </c>
    </row>
    <row r="225" spans="3:56" ht="12.75">
      <c r="C225" s="202" t="s">
        <v>405</v>
      </c>
      <c r="D225" s="257"/>
      <c r="E225" s="196"/>
      <c r="F225" s="199">
        <v>0.001</v>
      </c>
      <c r="G225" s="151"/>
      <c r="H225" s="123"/>
      <c r="I225" s="151"/>
      <c r="J225" s="199">
        <v>0.001</v>
      </c>
      <c r="K225" s="153"/>
      <c r="L225" s="200"/>
      <c r="M225" s="153"/>
      <c r="N225" s="153"/>
      <c r="O225" s="153"/>
      <c r="P225" s="153"/>
      <c r="Q225" s="153"/>
      <c r="R225" s="153"/>
      <c r="S225" s="153"/>
      <c r="T225" s="171">
        <f t="shared" si="58"/>
        <v>0.001</v>
      </c>
      <c r="U225" s="154">
        <v>0.002</v>
      </c>
      <c r="V225" s="236">
        <f t="shared" si="54"/>
        <v>-0.001</v>
      </c>
      <c r="W225" s="153"/>
      <c r="X225" s="153"/>
      <c r="Y225" s="128"/>
      <c r="Z225" s="168">
        <f t="shared" si="55"/>
        <v>0.001</v>
      </c>
      <c r="AB225" s="88">
        <f t="shared" si="53"/>
        <v>0</v>
      </c>
      <c r="AD225" s="298"/>
      <c r="AE225" s="298"/>
      <c r="AF225" s="298"/>
      <c r="AG225" s="298">
        <v>0.001</v>
      </c>
      <c r="AH225" s="298"/>
      <c r="AI225" s="298"/>
      <c r="AJ225" s="298">
        <f t="shared" si="56"/>
        <v>0</v>
      </c>
      <c r="AK225" s="298"/>
      <c r="AL225" s="298"/>
      <c r="AM225" s="301"/>
      <c r="AN225" s="301">
        <f t="shared" si="57"/>
        <v>0.001</v>
      </c>
      <c r="AP225" s="301"/>
      <c r="AQ225" s="301"/>
      <c r="AR225" s="301"/>
      <c r="AS225" s="301"/>
      <c r="AT225" s="301"/>
      <c r="AU225" s="301"/>
      <c r="AV225" s="301"/>
      <c r="AW225" s="301"/>
      <c r="AX225" s="301"/>
      <c r="AY225" s="301"/>
      <c r="AZ225" s="301"/>
      <c r="BA225" s="301"/>
      <c r="BB225" s="301"/>
      <c r="BC225" s="301"/>
      <c r="BD225" s="301"/>
    </row>
    <row r="226" spans="3:57" ht="12.75">
      <c r="C226" s="202" t="s">
        <v>403</v>
      </c>
      <c r="D226" s="257"/>
      <c r="E226" s="196"/>
      <c r="F226" s="199">
        <v>0.041</v>
      </c>
      <c r="G226" s="150"/>
      <c r="H226" s="123"/>
      <c r="I226" s="151"/>
      <c r="J226" s="199"/>
      <c r="K226" s="153"/>
      <c r="L226" s="200"/>
      <c r="M226" s="153"/>
      <c r="N226" s="153"/>
      <c r="O226" s="153">
        <v>0.041</v>
      </c>
      <c r="P226" s="153"/>
      <c r="Q226" s="153"/>
      <c r="R226" s="153"/>
      <c r="S226" s="153"/>
      <c r="T226" s="171">
        <f t="shared" si="58"/>
        <v>0.041</v>
      </c>
      <c r="U226" s="154">
        <v>0.038</v>
      </c>
      <c r="V226" s="236">
        <f t="shared" si="54"/>
        <v>0.0030000000000000027</v>
      </c>
      <c r="W226" s="153"/>
      <c r="X226" s="153"/>
      <c r="Y226" s="128"/>
      <c r="Z226" s="168">
        <f t="shared" si="55"/>
        <v>0.041</v>
      </c>
      <c r="AB226" s="88">
        <f t="shared" si="53"/>
        <v>0</v>
      </c>
      <c r="AD226" s="298"/>
      <c r="AE226" s="298"/>
      <c r="AF226" s="298">
        <v>0.041</v>
      </c>
      <c r="AG226" s="298"/>
      <c r="AH226" s="298"/>
      <c r="AI226" s="298"/>
      <c r="AJ226" s="298">
        <f t="shared" si="56"/>
        <v>0</v>
      </c>
      <c r="AK226" s="298"/>
      <c r="AL226" s="298"/>
      <c r="AM226" s="301"/>
      <c r="AN226" s="301">
        <f t="shared" si="57"/>
        <v>0.041</v>
      </c>
      <c r="AP226" s="301"/>
      <c r="AQ226" s="301"/>
      <c r="AR226" s="301"/>
      <c r="AS226" s="301"/>
      <c r="AT226" s="301"/>
      <c r="AU226" s="301"/>
      <c r="AV226" s="301"/>
      <c r="AW226" s="301"/>
      <c r="AX226" s="301"/>
      <c r="AY226" s="301"/>
      <c r="AZ226" s="301"/>
      <c r="BA226" s="301"/>
      <c r="BB226" s="301"/>
      <c r="BC226" s="301"/>
      <c r="BD226" s="301"/>
      <c r="BE226" s="98" t="s">
        <v>538</v>
      </c>
    </row>
    <row r="227" spans="3:57" ht="12.75">
      <c r="C227" s="201" t="s">
        <v>217</v>
      </c>
      <c r="D227" s="89"/>
      <c r="E227" s="196"/>
      <c r="F227" s="282">
        <v>0.04</v>
      </c>
      <c r="G227" s="150"/>
      <c r="H227" s="123"/>
      <c r="I227" s="151"/>
      <c r="J227" s="283"/>
      <c r="K227" s="153"/>
      <c r="L227" s="200"/>
      <c r="M227" s="153"/>
      <c r="N227" s="153"/>
      <c r="O227" s="153"/>
      <c r="P227" s="153"/>
      <c r="Q227" s="127"/>
      <c r="R227" s="127"/>
      <c r="S227" s="127"/>
      <c r="T227" s="171">
        <f t="shared" si="58"/>
        <v>0</v>
      </c>
      <c r="U227" s="154">
        <v>0</v>
      </c>
      <c r="V227" s="236">
        <f t="shared" si="54"/>
        <v>0</v>
      </c>
      <c r="W227" s="127"/>
      <c r="X227" s="127">
        <v>0.04</v>
      </c>
      <c r="Y227" s="128"/>
      <c r="Z227" s="168">
        <f t="shared" si="55"/>
        <v>0.04</v>
      </c>
      <c r="AB227" s="88">
        <f t="shared" si="53"/>
        <v>0</v>
      </c>
      <c r="AD227" s="298"/>
      <c r="AE227" s="298"/>
      <c r="AF227" s="298">
        <v>0.02</v>
      </c>
      <c r="AG227" s="298"/>
      <c r="AH227" s="298"/>
      <c r="AI227" s="298"/>
      <c r="AJ227" s="298">
        <f t="shared" si="56"/>
        <v>0</v>
      </c>
      <c r="AK227" s="298"/>
      <c r="AL227" s="298"/>
      <c r="AM227" s="301">
        <v>0.02</v>
      </c>
      <c r="AN227" s="301">
        <f t="shared" si="57"/>
        <v>0.04</v>
      </c>
      <c r="AP227" s="301"/>
      <c r="AQ227" s="301"/>
      <c r="AR227" s="301"/>
      <c r="AS227" s="301"/>
      <c r="AT227" s="301"/>
      <c r="AU227" s="301"/>
      <c r="AV227" s="301"/>
      <c r="AW227" s="301"/>
      <c r="AX227" s="301"/>
      <c r="AY227" s="301"/>
      <c r="AZ227" s="301"/>
      <c r="BA227" s="301"/>
      <c r="BB227" s="301"/>
      <c r="BC227" s="301"/>
      <c r="BD227" s="301"/>
      <c r="BE227" s="98" t="s">
        <v>534</v>
      </c>
    </row>
    <row r="228" spans="3:56" ht="12.75">
      <c r="C228" s="202" t="s">
        <v>245</v>
      </c>
      <c r="D228" s="257"/>
      <c r="E228" s="196"/>
      <c r="F228" s="199">
        <v>0.049</v>
      </c>
      <c r="G228" s="150"/>
      <c r="H228" s="123"/>
      <c r="I228" s="151"/>
      <c r="J228" s="199">
        <v>0.049</v>
      </c>
      <c r="K228" s="153"/>
      <c r="L228" s="200"/>
      <c r="M228" s="153"/>
      <c r="N228" s="153"/>
      <c r="O228" s="153"/>
      <c r="P228" s="153"/>
      <c r="Q228" s="153"/>
      <c r="R228" s="153"/>
      <c r="S228" s="153"/>
      <c r="T228" s="171">
        <f t="shared" si="58"/>
        <v>0.049</v>
      </c>
      <c r="U228" s="154">
        <v>0.096</v>
      </c>
      <c r="V228" s="236">
        <f t="shared" si="54"/>
        <v>-0.047</v>
      </c>
      <c r="W228" s="153"/>
      <c r="X228" s="153"/>
      <c r="Y228" s="128"/>
      <c r="Z228" s="168">
        <f t="shared" si="55"/>
        <v>0.049</v>
      </c>
      <c r="AB228" s="88">
        <f t="shared" si="53"/>
        <v>0</v>
      </c>
      <c r="AD228" s="298"/>
      <c r="AE228" s="298"/>
      <c r="AF228" s="298"/>
      <c r="AG228" s="298">
        <v>0.049</v>
      </c>
      <c r="AH228" s="298"/>
      <c r="AI228" s="298"/>
      <c r="AJ228" s="298">
        <f t="shared" si="56"/>
        <v>0</v>
      </c>
      <c r="AK228" s="298"/>
      <c r="AL228" s="298"/>
      <c r="AM228" s="301"/>
      <c r="AN228" s="301">
        <f t="shared" si="57"/>
        <v>0.049</v>
      </c>
      <c r="AP228" s="301"/>
      <c r="AQ228" s="301"/>
      <c r="AR228" s="301"/>
      <c r="AS228" s="301"/>
      <c r="AT228" s="301"/>
      <c r="AU228" s="301"/>
      <c r="AV228" s="301"/>
      <c r="AW228" s="301"/>
      <c r="AX228" s="301"/>
      <c r="AY228" s="301"/>
      <c r="AZ228" s="301"/>
      <c r="BA228" s="301"/>
      <c r="BB228" s="301"/>
      <c r="BC228" s="301"/>
      <c r="BD228" s="301"/>
    </row>
    <row r="229" spans="3:57" ht="12.75">
      <c r="C229" s="202" t="s">
        <v>245</v>
      </c>
      <c r="D229" s="257"/>
      <c r="E229" s="196"/>
      <c r="F229" s="199">
        <v>0.005</v>
      </c>
      <c r="G229" s="150"/>
      <c r="H229" s="123"/>
      <c r="I229" s="151"/>
      <c r="J229" s="199"/>
      <c r="K229" s="153"/>
      <c r="L229" s="200"/>
      <c r="M229" s="153"/>
      <c r="N229" s="153"/>
      <c r="O229" s="153"/>
      <c r="P229" s="153"/>
      <c r="Q229" s="153"/>
      <c r="R229" s="153"/>
      <c r="S229" s="153"/>
      <c r="T229" s="171">
        <f t="shared" si="58"/>
        <v>0</v>
      </c>
      <c r="U229" s="154">
        <v>0</v>
      </c>
      <c r="V229" s="236">
        <f t="shared" si="54"/>
        <v>0</v>
      </c>
      <c r="W229" s="153"/>
      <c r="X229" s="153">
        <v>0.005</v>
      </c>
      <c r="Y229" s="128"/>
      <c r="Z229" s="168">
        <f t="shared" si="55"/>
        <v>0.005</v>
      </c>
      <c r="AB229" s="88">
        <f t="shared" si="53"/>
        <v>0</v>
      </c>
      <c r="AD229" s="298"/>
      <c r="AE229" s="298"/>
      <c r="AF229" s="301">
        <v>0.005</v>
      </c>
      <c r="AG229" s="298"/>
      <c r="AH229" s="298"/>
      <c r="AI229" s="298"/>
      <c r="AJ229" s="298">
        <f t="shared" si="56"/>
        <v>0</v>
      </c>
      <c r="AK229" s="298"/>
      <c r="AL229" s="298"/>
      <c r="AN229" s="301">
        <f>SUM(AD229:AL229)</f>
        <v>0.005</v>
      </c>
      <c r="AP229" s="301"/>
      <c r="AQ229" s="301"/>
      <c r="AR229" s="301"/>
      <c r="AS229" s="301"/>
      <c r="AT229" s="301"/>
      <c r="AU229" s="301"/>
      <c r="AV229" s="301"/>
      <c r="AW229" s="301"/>
      <c r="AX229" s="301"/>
      <c r="AY229" s="301"/>
      <c r="AZ229" s="301"/>
      <c r="BA229" s="301"/>
      <c r="BB229" s="301"/>
      <c r="BC229" s="301"/>
      <c r="BD229" s="301"/>
      <c r="BE229" s="98" t="s">
        <v>538</v>
      </c>
    </row>
    <row r="230" spans="3:57" ht="12.75">
      <c r="C230" s="201" t="s">
        <v>221</v>
      </c>
      <c r="D230" s="89"/>
      <c r="E230" s="196"/>
      <c r="F230" s="282">
        <v>0.035</v>
      </c>
      <c r="G230" s="150"/>
      <c r="H230" s="123"/>
      <c r="I230" s="151"/>
      <c r="J230" s="283"/>
      <c r="K230" s="153"/>
      <c r="L230" s="200"/>
      <c r="M230" s="153">
        <v>0.004</v>
      </c>
      <c r="N230" s="153">
        <v>0.004</v>
      </c>
      <c r="O230" s="153">
        <v>0.004</v>
      </c>
      <c r="P230" s="153">
        <v>0.004</v>
      </c>
      <c r="Q230" s="153">
        <v>0.004</v>
      </c>
      <c r="R230" s="153">
        <v>0.004</v>
      </c>
      <c r="S230" s="153">
        <v>0.004</v>
      </c>
      <c r="T230" s="171">
        <f t="shared" si="58"/>
        <v>0.028</v>
      </c>
      <c r="U230" s="154">
        <v>0.028</v>
      </c>
      <c r="V230" s="236">
        <f t="shared" si="54"/>
        <v>0</v>
      </c>
      <c r="W230" s="153">
        <v>0.004</v>
      </c>
      <c r="X230" s="153">
        <v>0.003</v>
      </c>
      <c r="Y230" s="128"/>
      <c r="Z230" s="168">
        <f t="shared" si="55"/>
        <v>0.035</v>
      </c>
      <c r="AB230" s="88">
        <f t="shared" si="53"/>
        <v>0</v>
      </c>
      <c r="AD230" s="298">
        <v>0.01</v>
      </c>
      <c r="AE230" s="298"/>
      <c r="AF230" s="298"/>
      <c r="AG230" s="298"/>
      <c r="AH230" s="298"/>
      <c r="AI230" s="298"/>
      <c r="AJ230" s="298">
        <f t="shared" si="56"/>
        <v>0</v>
      </c>
      <c r="AK230" s="298"/>
      <c r="AL230" s="298"/>
      <c r="AM230" s="301">
        <v>0.025</v>
      </c>
      <c r="AN230" s="301">
        <f t="shared" si="57"/>
        <v>0.035</v>
      </c>
      <c r="AP230" s="301"/>
      <c r="AQ230" s="301"/>
      <c r="AR230" s="301"/>
      <c r="AS230" s="301"/>
      <c r="AT230" s="301"/>
      <c r="AU230" s="301"/>
      <c r="AV230" s="301"/>
      <c r="AW230" s="301"/>
      <c r="AX230" s="301"/>
      <c r="AY230" s="301"/>
      <c r="AZ230" s="301"/>
      <c r="BA230" s="301"/>
      <c r="BB230" s="301"/>
      <c r="BC230" s="301"/>
      <c r="BD230" s="301"/>
      <c r="BE230" s="98" t="s">
        <v>570</v>
      </c>
    </row>
    <row r="231" spans="3:56" ht="12.75">
      <c r="C231" s="201" t="s">
        <v>223</v>
      </c>
      <c r="D231" s="89"/>
      <c r="E231" s="196"/>
      <c r="F231" s="282">
        <v>0</v>
      </c>
      <c r="G231" s="150"/>
      <c r="H231" s="123"/>
      <c r="I231" s="151"/>
      <c r="J231" s="283"/>
      <c r="K231" s="153"/>
      <c r="L231" s="200"/>
      <c r="M231" s="153"/>
      <c r="N231" s="153"/>
      <c r="O231" s="153"/>
      <c r="P231" s="153"/>
      <c r="Q231" s="127"/>
      <c r="R231" s="127"/>
      <c r="S231" s="127"/>
      <c r="T231" s="171">
        <f t="shared" si="58"/>
        <v>0</v>
      </c>
      <c r="U231" s="154">
        <v>0</v>
      </c>
      <c r="V231" s="236">
        <f t="shared" si="54"/>
        <v>0</v>
      </c>
      <c r="W231" s="127"/>
      <c r="X231" s="127"/>
      <c r="Y231" s="128"/>
      <c r="Z231" s="168">
        <f t="shared" si="55"/>
        <v>0</v>
      </c>
      <c r="AB231" s="88">
        <f t="shared" si="53"/>
        <v>0</v>
      </c>
      <c r="AD231" s="298"/>
      <c r="AE231" s="298"/>
      <c r="AF231" s="298"/>
      <c r="AG231" s="298"/>
      <c r="AH231" s="298"/>
      <c r="AI231" s="298"/>
      <c r="AJ231" s="298">
        <f t="shared" si="56"/>
        <v>0</v>
      </c>
      <c r="AK231" s="298"/>
      <c r="AL231" s="298"/>
      <c r="AM231" s="301"/>
      <c r="AN231" s="301">
        <f t="shared" si="57"/>
        <v>0</v>
      </c>
      <c r="AP231" s="301"/>
      <c r="AQ231" s="301"/>
      <c r="AR231" s="301"/>
      <c r="AS231" s="301"/>
      <c r="AT231" s="301"/>
      <c r="AU231" s="301"/>
      <c r="AV231" s="301"/>
      <c r="AW231" s="301"/>
      <c r="AX231" s="301"/>
      <c r="AY231" s="301"/>
      <c r="AZ231" s="301"/>
      <c r="BA231" s="301"/>
      <c r="BB231" s="301"/>
      <c r="BC231" s="301"/>
      <c r="BD231" s="301"/>
    </row>
    <row r="232" spans="3:56" ht="12.75">
      <c r="C232" s="202" t="s">
        <v>456</v>
      </c>
      <c r="D232" s="257"/>
      <c r="E232" s="196"/>
      <c r="F232" s="199">
        <v>0.003</v>
      </c>
      <c r="G232" s="150"/>
      <c r="H232" s="123"/>
      <c r="I232" s="151"/>
      <c r="J232" s="199"/>
      <c r="K232" s="153"/>
      <c r="L232" s="200"/>
      <c r="M232" s="153"/>
      <c r="N232" s="153"/>
      <c r="O232" s="153"/>
      <c r="P232" s="153"/>
      <c r="Q232" s="153"/>
      <c r="R232" s="153"/>
      <c r="S232" s="153"/>
      <c r="T232" s="171">
        <f t="shared" si="58"/>
        <v>0</v>
      </c>
      <c r="U232" s="154">
        <v>0.002</v>
      </c>
      <c r="V232" s="236">
        <f t="shared" si="54"/>
        <v>-0.002</v>
      </c>
      <c r="W232" s="153"/>
      <c r="X232" s="153">
        <v>0.003</v>
      </c>
      <c r="Y232" s="128"/>
      <c r="Z232" s="168">
        <f t="shared" si="55"/>
        <v>0.003</v>
      </c>
      <c r="AB232" s="88">
        <f t="shared" si="53"/>
        <v>0</v>
      </c>
      <c r="AD232" s="299"/>
      <c r="AE232" s="299"/>
      <c r="AF232" s="299">
        <v>0.003</v>
      </c>
      <c r="AG232" s="299"/>
      <c r="AH232" s="299"/>
      <c r="AI232" s="299"/>
      <c r="AJ232" s="299">
        <f t="shared" si="56"/>
        <v>0</v>
      </c>
      <c r="AK232" s="299"/>
      <c r="AL232" s="299"/>
      <c r="AM232" s="302"/>
      <c r="AN232" s="302">
        <f t="shared" si="57"/>
        <v>0.003</v>
      </c>
      <c r="AP232" s="302"/>
      <c r="AQ232" s="302"/>
      <c r="AR232" s="302"/>
      <c r="AS232" s="302"/>
      <c r="AT232" s="302"/>
      <c r="AU232" s="302"/>
      <c r="AV232" s="302"/>
      <c r="AW232" s="302"/>
      <c r="AX232" s="302"/>
      <c r="AY232" s="302"/>
      <c r="AZ232" s="302"/>
      <c r="BA232" s="302"/>
      <c r="BB232" s="302"/>
      <c r="BC232" s="302"/>
      <c r="BD232" s="302"/>
    </row>
    <row r="233" spans="2:38" s="173" customFormat="1" ht="12.75">
      <c r="B233" s="170"/>
      <c r="C233" s="155"/>
      <c r="D233" s="203"/>
      <c r="E233" s="164"/>
      <c r="F233" s="165"/>
      <c r="G233" s="165"/>
      <c r="H233" s="171"/>
      <c r="I233" s="166"/>
      <c r="J233" s="167"/>
      <c r="K233" s="154"/>
      <c r="L233" s="221"/>
      <c r="M233" s="154"/>
      <c r="N233" s="154"/>
      <c r="O233" s="154"/>
      <c r="P233" s="154"/>
      <c r="Q233" s="131"/>
      <c r="R233" s="131"/>
      <c r="S233" s="131"/>
      <c r="T233" s="167"/>
      <c r="U233" s="154"/>
      <c r="V233" s="232"/>
      <c r="W233" s="131"/>
      <c r="X233" s="131"/>
      <c r="Y233" s="172"/>
      <c r="Z233" s="168"/>
      <c r="AA233" s="170"/>
      <c r="AB233" s="88">
        <f t="shared" si="53"/>
        <v>0</v>
      </c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</row>
    <row r="234" spans="2:56" s="173" customFormat="1" ht="12.75">
      <c r="B234" s="170"/>
      <c r="C234" s="163" t="s">
        <v>111</v>
      </c>
      <c r="D234" s="255"/>
      <c r="E234" s="164"/>
      <c r="F234" s="165">
        <f>SUM(F208:F232)</f>
        <v>1.1269999999999998</v>
      </c>
      <c r="G234" s="165"/>
      <c r="H234" s="171"/>
      <c r="I234" s="166"/>
      <c r="J234" s="167">
        <f aca="true" t="shared" si="59" ref="J234:X234">SUM(J209:J232)</f>
        <v>0.076</v>
      </c>
      <c r="K234" s="154">
        <f t="shared" si="59"/>
        <v>0.092</v>
      </c>
      <c r="L234" s="154">
        <f t="shared" si="59"/>
        <v>0.029</v>
      </c>
      <c r="M234" s="154">
        <f t="shared" si="59"/>
        <v>0.05399999999999999</v>
      </c>
      <c r="N234" s="271">
        <f t="shared" si="59"/>
        <v>0.09100000000000003</v>
      </c>
      <c r="O234" s="131">
        <f t="shared" si="59"/>
        <v>0.14300000000000002</v>
      </c>
      <c r="P234" s="131">
        <f t="shared" si="59"/>
        <v>0.046</v>
      </c>
      <c r="Q234" s="131">
        <f t="shared" si="59"/>
        <v>0.046</v>
      </c>
      <c r="R234" s="131">
        <f t="shared" si="59"/>
        <v>0.046</v>
      </c>
      <c r="S234" s="131">
        <f>SUM(S209:S232)</f>
        <v>0.069</v>
      </c>
      <c r="T234" s="167">
        <f t="shared" si="59"/>
        <v>0.6920000000000001</v>
      </c>
      <c r="U234" s="154">
        <f t="shared" si="59"/>
        <v>0.628</v>
      </c>
      <c r="V234" s="232">
        <f t="shared" si="59"/>
        <v>0.064</v>
      </c>
      <c r="W234" s="131">
        <f t="shared" si="59"/>
        <v>0.11900000000000001</v>
      </c>
      <c r="X234" s="131">
        <f t="shared" si="59"/>
        <v>0.316</v>
      </c>
      <c r="Y234" s="172"/>
      <c r="Z234" s="168">
        <f>SUM(Z209:Z232)</f>
        <v>1.1269999999999996</v>
      </c>
      <c r="AA234" s="170"/>
      <c r="AB234" s="88">
        <f t="shared" si="53"/>
        <v>0</v>
      </c>
      <c r="AC234" s="170"/>
      <c r="AD234" s="170">
        <f>SUM(AD209:AD232)</f>
        <v>0.147</v>
      </c>
      <c r="AE234" s="170">
        <f aca="true" t="shared" si="60" ref="AE234:AM234">SUM(AE209:AE232)</f>
        <v>0.189</v>
      </c>
      <c r="AF234" s="170">
        <f t="shared" si="60"/>
        <v>0.226</v>
      </c>
      <c r="AG234" s="170">
        <f t="shared" si="60"/>
        <v>0.079</v>
      </c>
      <c r="AH234" s="170">
        <f t="shared" si="60"/>
        <v>0</v>
      </c>
      <c r="AI234" s="170">
        <f t="shared" si="60"/>
        <v>0</v>
      </c>
      <c r="AJ234" s="170">
        <f t="shared" si="60"/>
        <v>0.376</v>
      </c>
      <c r="AK234" s="170">
        <f t="shared" si="60"/>
        <v>0</v>
      </c>
      <c r="AL234" s="170">
        <f t="shared" si="60"/>
        <v>0</v>
      </c>
      <c r="AM234" s="170">
        <f t="shared" si="60"/>
        <v>0.11000000000000001</v>
      </c>
      <c r="AN234" s="173">
        <f>SUM(AN209:AN233)</f>
        <v>1.1269999999999996</v>
      </c>
      <c r="AP234" s="173">
        <f>SUM(AP209:AP233)</f>
        <v>0</v>
      </c>
      <c r="AQ234" s="173">
        <f aca="true" t="shared" si="61" ref="AQ234:BD234">SUM(AQ209:AQ233)</f>
        <v>0</v>
      </c>
      <c r="AR234" s="173">
        <f t="shared" si="61"/>
        <v>0</v>
      </c>
      <c r="AS234" s="173">
        <f t="shared" si="61"/>
        <v>0</v>
      </c>
      <c r="AT234" s="173">
        <f t="shared" si="61"/>
        <v>0</v>
      </c>
      <c r="AU234" s="173">
        <f t="shared" si="61"/>
        <v>0</v>
      </c>
      <c r="AV234" s="173">
        <f t="shared" si="61"/>
        <v>0</v>
      </c>
      <c r="AW234" s="173">
        <f t="shared" si="61"/>
        <v>0</v>
      </c>
      <c r="AX234" s="173">
        <f t="shared" si="61"/>
        <v>0</v>
      </c>
      <c r="AY234" s="173">
        <f t="shared" si="61"/>
        <v>0</v>
      </c>
      <c r="AZ234" s="173">
        <f t="shared" si="61"/>
        <v>0.1</v>
      </c>
      <c r="BA234" s="173">
        <f t="shared" si="61"/>
        <v>0</v>
      </c>
      <c r="BB234" s="173">
        <f t="shared" si="61"/>
        <v>0</v>
      </c>
      <c r="BC234" s="173">
        <f t="shared" si="61"/>
        <v>0</v>
      </c>
      <c r="BD234" s="173">
        <f t="shared" si="61"/>
        <v>0.276</v>
      </c>
    </row>
    <row r="235" spans="2:38" s="173" customFormat="1" ht="12.75">
      <c r="B235" s="170"/>
      <c r="C235" s="163"/>
      <c r="D235" s="255"/>
      <c r="E235" s="164"/>
      <c r="F235" s="165"/>
      <c r="G235" s="165"/>
      <c r="H235" s="171"/>
      <c r="I235" s="166"/>
      <c r="J235" s="167"/>
      <c r="K235" s="154"/>
      <c r="L235" s="221"/>
      <c r="M235" s="154"/>
      <c r="N235" s="154"/>
      <c r="O235" s="154"/>
      <c r="P235" s="154"/>
      <c r="Q235" s="131"/>
      <c r="R235" s="131"/>
      <c r="S235" s="131"/>
      <c r="T235" s="167"/>
      <c r="U235" s="154"/>
      <c r="V235" s="232"/>
      <c r="W235" s="131"/>
      <c r="X235" s="131"/>
      <c r="Y235" s="172"/>
      <c r="Z235" s="168"/>
      <c r="AA235" s="170"/>
      <c r="AB235" s="88">
        <f t="shared" si="53"/>
        <v>0</v>
      </c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</row>
    <row r="236" spans="2:38" s="173" customFormat="1" ht="12.75">
      <c r="B236" s="170"/>
      <c r="C236" s="163" t="s">
        <v>114</v>
      </c>
      <c r="D236" s="255"/>
      <c r="E236" s="164"/>
      <c r="F236" s="165"/>
      <c r="G236" s="165"/>
      <c r="H236" s="171"/>
      <c r="I236" s="166"/>
      <c r="J236" s="167"/>
      <c r="K236" s="154"/>
      <c r="L236" s="221"/>
      <c r="M236" s="154"/>
      <c r="N236" s="154"/>
      <c r="O236" s="154"/>
      <c r="P236" s="154"/>
      <c r="Q236" s="131"/>
      <c r="R236" s="131"/>
      <c r="S236" s="131"/>
      <c r="T236" s="167"/>
      <c r="U236" s="154"/>
      <c r="V236" s="232"/>
      <c r="W236" s="131"/>
      <c r="X236" s="131"/>
      <c r="Y236" s="172"/>
      <c r="Z236" s="168"/>
      <c r="AA236" s="170"/>
      <c r="AB236" s="88">
        <f t="shared" si="53"/>
        <v>0</v>
      </c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</row>
    <row r="237" spans="2:38" s="173" customFormat="1" ht="12.75">
      <c r="B237" s="170"/>
      <c r="C237" s="148" t="s">
        <v>189</v>
      </c>
      <c r="D237" s="252"/>
      <c r="E237" s="164"/>
      <c r="F237" s="165"/>
      <c r="G237" s="165"/>
      <c r="H237" s="171"/>
      <c r="I237" s="166"/>
      <c r="J237" s="167"/>
      <c r="K237" s="154"/>
      <c r="L237" s="221"/>
      <c r="M237" s="154"/>
      <c r="N237" s="154"/>
      <c r="O237" s="154"/>
      <c r="P237" s="154"/>
      <c r="Q237" s="131"/>
      <c r="R237" s="131"/>
      <c r="S237" s="131"/>
      <c r="T237" s="167"/>
      <c r="U237" s="154"/>
      <c r="V237" s="232"/>
      <c r="W237" s="131"/>
      <c r="X237" s="131"/>
      <c r="Y237" s="172"/>
      <c r="Z237" s="168"/>
      <c r="AA237" s="170"/>
      <c r="AB237" s="88">
        <f t="shared" si="53"/>
        <v>0</v>
      </c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</row>
    <row r="238" spans="2:56" s="173" customFormat="1" ht="12.75">
      <c r="B238" s="170"/>
      <c r="C238" s="155" t="s">
        <v>417</v>
      </c>
      <c r="D238" s="252"/>
      <c r="E238" s="164"/>
      <c r="F238" s="150">
        <v>0.003</v>
      </c>
      <c r="G238" s="165"/>
      <c r="H238" s="171"/>
      <c r="I238" s="166"/>
      <c r="J238" s="152">
        <v>0.003</v>
      </c>
      <c r="K238" s="154"/>
      <c r="L238" s="221"/>
      <c r="M238" s="154"/>
      <c r="N238" s="154"/>
      <c r="O238" s="154"/>
      <c r="P238" s="154"/>
      <c r="Q238" s="131"/>
      <c r="R238" s="131"/>
      <c r="S238" s="131"/>
      <c r="T238" s="171">
        <f>SUM(J238:S238)</f>
        <v>0.003</v>
      </c>
      <c r="U238" s="154">
        <v>0.003</v>
      </c>
      <c r="V238" s="236">
        <f aca="true" t="shared" si="62" ref="V238:V244">T238-U238</f>
        <v>0</v>
      </c>
      <c r="W238" s="131"/>
      <c r="X238" s="131"/>
      <c r="Y238" s="172"/>
      <c r="Z238" s="168">
        <f aca="true" t="shared" si="63" ref="Z238:Z244">T238+SUM(W238:X238)</f>
        <v>0.003</v>
      </c>
      <c r="AA238" s="170"/>
      <c r="AB238" s="88">
        <f t="shared" si="53"/>
        <v>0</v>
      </c>
      <c r="AC238" s="170"/>
      <c r="AD238" s="303"/>
      <c r="AE238" s="304">
        <v>0.003</v>
      </c>
      <c r="AF238" s="303"/>
      <c r="AG238" s="303"/>
      <c r="AH238" s="303"/>
      <c r="AI238" s="303"/>
      <c r="AJ238" s="297">
        <f>SUM(AP238:BD238)</f>
        <v>0</v>
      </c>
      <c r="AK238" s="297"/>
      <c r="AL238" s="297"/>
      <c r="AM238" s="300"/>
      <c r="AN238" s="300">
        <f>SUM(AD238:AM238)</f>
        <v>0.003</v>
      </c>
      <c r="AP238" s="307"/>
      <c r="AQ238" s="307"/>
      <c r="AR238" s="307"/>
      <c r="AS238" s="307"/>
      <c r="AT238" s="307"/>
      <c r="AU238" s="307"/>
      <c r="AV238" s="307"/>
      <c r="AW238" s="307"/>
      <c r="AX238" s="307"/>
      <c r="AY238" s="307"/>
      <c r="AZ238" s="307"/>
      <c r="BA238" s="307"/>
      <c r="BB238" s="307"/>
      <c r="BC238" s="307"/>
      <c r="BD238" s="307"/>
    </row>
    <row r="239" spans="2:57" s="173" customFormat="1" ht="12.75">
      <c r="B239" s="170"/>
      <c r="C239" s="155" t="s">
        <v>418</v>
      </c>
      <c r="D239" s="252"/>
      <c r="E239" s="164"/>
      <c r="F239" s="150">
        <v>0.02</v>
      </c>
      <c r="G239" s="165"/>
      <c r="H239" s="171"/>
      <c r="I239" s="166"/>
      <c r="J239" s="149">
        <v>0.004</v>
      </c>
      <c r="K239" s="150">
        <v>0.004</v>
      </c>
      <c r="L239" s="150">
        <v>0.004</v>
      </c>
      <c r="M239" s="150">
        <v>0.004</v>
      </c>
      <c r="N239" s="200">
        <v>0.004</v>
      </c>
      <c r="O239" s="154"/>
      <c r="P239" s="154"/>
      <c r="Q239" s="131"/>
      <c r="R239" s="131"/>
      <c r="S239" s="131"/>
      <c r="T239" s="171">
        <f aca="true" t="shared" si="64" ref="T239:T244">SUM(J239:S239)</f>
        <v>0.02</v>
      </c>
      <c r="U239" s="154">
        <v>0.014</v>
      </c>
      <c r="V239" s="236">
        <f t="shared" si="62"/>
        <v>0.006</v>
      </c>
      <c r="W239" s="131"/>
      <c r="X239" s="131"/>
      <c r="Y239" s="172"/>
      <c r="Z239" s="168">
        <f t="shared" si="63"/>
        <v>0.02</v>
      </c>
      <c r="AA239" s="170"/>
      <c r="AB239" s="88">
        <f t="shared" si="53"/>
        <v>0</v>
      </c>
      <c r="AC239" s="170"/>
      <c r="AD239" s="305"/>
      <c r="AE239" s="306">
        <v>0.008</v>
      </c>
      <c r="AF239" s="305"/>
      <c r="AG239" s="305"/>
      <c r="AH239" s="305"/>
      <c r="AI239" s="305"/>
      <c r="AJ239" s="298">
        <f aca="true" t="shared" si="65" ref="AJ239:AJ244">SUM(AP239:BD239)</f>
        <v>0</v>
      </c>
      <c r="AK239" s="298"/>
      <c r="AL239" s="298"/>
      <c r="AM239" s="301">
        <v>0.012</v>
      </c>
      <c r="AN239" s="301">
        <f aca="true" t="shared" si="66" ref="AN239:AN244">SUM(AD239:AM239)</f>
        <v>0.02</v>
      </c>
      <c r="AP239" s="308"/>
      <c r="AQ239" s="308"/>
      <c r="AR239" s="308"/>
      <c r="AS239" s="308"/>
      <c r="AT239" s="308"/>
      <c r="AU239" s="308"/>
      <c r="AV239" s="308"/>
      <c r="AW239" s="308"/>
      <c r="AX239" s="308"/>
      <c r="AY239" s="308"/>
      <c r="AZ239" s="308"/>
      <c r="BA239" s="308"/>
      <c r="BB239" s="308"/>
      <c r="BC239" s="308"/>
      <c r="BD239" s="308"/>
      <c r="BE239" s="293" t="s">
        <v>532</v>
      </c>
    </row>
    <row r="240" spans="3:56" ht="12.75">
      <c r="C240" s="155" t="s">
        <v>115</v>
      </c>
      <c r="D240" s="203"/>
      <c r="E240" s="149"/>
      <c r="F240" s="150">
        <v>0.105</v>
      </c>
      <c r="G240" s="150"/>
      <c r="H240" s="123"/>
      <c r="I240" s="151"/>
      <c r="J240" s="152"/>
      <c r="K240" s="153"/>
      <c r="L240" s="200">
        <v>0.01</v>
      </c>
      <c r="M240" s="153">
        <v>0.01</v>
      </c>
      <c r="N240" s="153">
        <v>0.01</v>
      </c>
      <c r="O240" s="153">
        <v>0.01</v>
      </c>
      <c r="P240" s="153">
        <v>0.01</v>
      </c>
      <c r="Q240" s="153">
        <v>0.01</v>
      </c>
      <c r="R240" s="153">
        <v>0.01</v>
      </c>
      <c r="S240" s="153">
        <v>0.01</v>
      </c>
      <c r="T240" s="171">
        <f t="shared" si="64"/>
        <v>0.08</v>
      </c>
      <c r="U240" s="154">
        <v>0.06</v>
      </c>
      <c r="V240" s="236">
        <f t="shared" si="62"/>
        <v>0.020000000000000004</v>
      </c>
      <c r="W240" s="153">
        <v>0.01</v>
      </c>
      <c r="X240" s="153">
        <v>0.015</v>
      </c>
      <c r="Y240" s="128"/>
      <c r="Z240" s="168">
        <f t="shared" si="63"/>
        <v>0.10500000000000001</v>
      </c>
      <c r="AB240" s="88">
        <f t="shared" si="53"/>
        <v>0</v>
      </c>
      <c r="AD240" s="298"/>
      <c r="AE240" s="306"/>
      <c r="AF240" s="298"/>
      <c r="AG240" s="298">
        <v>0.105</v>
      </c>
      <c r="AH240" s="298"/>
      <c r="AI240" s="298"/>
      <c r="AJ240" s="298">
        <f t="shared" si="65"/>
        <v>0</v>
      </c>
      <c r="AK240" s="298"/>
      <c r="AL240" s="298"/>
      <c r="AM240" s="301"/>
      <c r="AN240" s="301">
        <f t="shared" si="66"/>
        <v>0.105</v>
      </c>
      <c r="AP240" s="301"/>
      <c r="AQ240" s="301"/>
      <c r="AR240" s="301"/>
      <c r="AS240" s="301"/>
      <c r="AT240" s="301"/>
      <c r="AU240" s="301"/>
      <c r="AV240" s="301"/>
      <c r="AW240" s="301"/>
      <c r="AX240" s="301"/>
      <c r="AY240" s="301"/>
      <c r="AZ240" s="301"/>
      <c r="BA240" s="301"/>
      <c r="BB240" s="301"/>
      <c r="BC240" s="301"/>
      <c r="BD240" s="301"/>
    </row>
    <row r="241" spans="3:56" ht="12.75">
      <c r="C241" s="155" t="s">
        <v>198</v>
      </c>
      <c r="D241" s="203"/>
      <c r="E241" s="149"/>
      <c r="F241" s="150">
        <v>0.1</v>
      </c>
      <c r="G241" s="150"/>
      <c r="H241" s="123"/>
      <c r="I241" s="151"/>
      <c r="J241" s="152"/>
      <c r="K241" s="153"/>
      <c r="L241" s="200">
        <v>0.01</v>
      </c>
      <c r="M241" s="153">
        <v>0.01</v>
      </c>
      <c r="N241" s="153">
        <v>0.01</v>
      </c>
      <c r="O241" s="153">
        <v>0.01</v>
      </c>
      <c r="P241" s="153">
        <v>0.01</v>
      </c>
      <c r="Q241" s="153">
        <v>0.01</v>
      </c>
      <c r="R241" s="153">
        <v>0.01</v>
      </c>
      <c r="S241" s="153">
        <v>0.01</v>
      </c>
      <c r="T241" s="171">
        <f t="shared" si="64"/>
        <v>0.08</v>
      </c>
      <c r="U241" s="154">
        <v>0.005</v>
      </c>
      <c r="V241" s="236">
        <f t="shared" si="62"/>
        <v>0.075</v>
      </c>
      <c r="W241" s="153">
        <v>0.01</v>
      </c>
      <c r="X241" s="153">
        <v>0.01</v>
      </c>
      <c r="Y241" s="128"/>
      <c r="Z241" s="168">
        <f t="shared" si="63"/>
        <v>0.1</v>
      </c>
      <c r="AB241" s="88">
        <f t="shared" si="53"/>
        <v>0</v>
      </c>
      <c r="AD241" s="298"/>
      <c r="AE241" s="298"/>
      <c r="AF241" s="298"/>
      <c r="AG241" s="298">
        <v>0.1</v>
      </c>
      <c r="AH241" s="298"/>
      <c r="AI241" s="298"/>
      <c r="AJ241" s="298">
        <f t="shared" si="65"/>
        <v>0</v>
      </c>
      <c r="AK241" s="298"/>
      <c r="AL241" s="298"/>
      <c r="AM241" s="301"/>
      <c r="AN241" s="301">
        <f t="shared" si="66"/>
        <v>0.1</v>
      </c>
      <c r="AP241" s="301"/>
      <c r="AQ241" s="301"/>
      <c r="AR241" s="301"/>
      <c r="AS241" s="301"/>
      <c r="AT241" s="301"/>
      <c r="AU241" s="301"/>
      <c r="AV241" s="301"/>
      <c r="AW241" s="301"/>
      <c r="AX241" s="301"/>
      <c r="AY241" s="301"/>
      <c r="AZ241" s="301"/>
      <c r="BA241" s="301"/>
      <c r="BB241" s="301"/>
      <c r="BC241" s="301"/>
      <c r="BD241" s="301"/>
    </row>
    <row r="242" spans="3:57" ht="12.75">
      <c r="C242" s="155" t="s">
        <v>255</v>
      </c>
      <c r="D242" s="203"/>
      <c r="E242" s="149"/>
      <c r="F242" s="150">
        <v>0.016</v>
      </c>
      <c r="G242" s="151"/>
      <c r="H242" s="123"/>
      <c r="I242" s="151"/>
      <c r="J242" s="150">
        <v>0.016</v>
      </c>
      <c r="K242" s="153"/>
      <c r="L242" s="200"/>
      <c r="M242" s="153"/>
      <c r="N242" s="153"/>
      <c r="O242" s="153"/>
      <c r="P242" s="153"/>
      <c r="Q242" s="153"/>
      <c r="R242" s="153"/>
      <c r="S242" s="153"/>
      <c r="T242" s="171">
        <f t="shared" si="64"/>
        <v>0.016</v>
      </c>
      <c r="U242" s="154">
        <v>0</v>
      </c>
      <c r="V242" s="236">
        <f t="shared" si="62"/>
        <v>0.016</v>
      </c>
      <c r="W242" s="153"/>
      <c r="X242" s="153"/>
      <c r="Y242" s="128"/>
      <c r="Z242" s="168">
        <f t="shared" si="63"/>
        <v>0.016</v>
      </c>
      <c r="AB242" s="88">
        <f t="shared" si="53"/>
        <v>0</v>
      </c>
      <c r="AD242" s="298"/>
      <c r="AE242" s="298"/>
      <c r="AF242" s="298"/>
      <c r="AG242" s="298"/>
      <c r="AH242" s="298"/>
      <c r="AI242" s="298"/>
      <c r="AJ242" s="298">
        <f t="shared" si="65"/>
        <v>0.016</v>
      </c>
      <c r="AK242" s="298"/>
      <c r="AL242" s="298"/>
      <c r="AM242" s="301"/>
      <c r="AN242" s="301">
        <f t="shared" si="66"/>
        <v>0.016</v>
      </c>
      <c r="AP242" s="301"/>
      <c r="AQ242" s="301"/>
      <c r="AR242" s="301"/>
      <c r="AS242" s="301"/>
      <c r="AT242" s="301"/>
      <c r="AU242" s="301"/>
      <c r="AV242" s="301"/>
      <c r="AW242" s="301"/>
      <c r="AX242" s="301"/>
      <c r="AY242" s="301"/>
      <c r="AZ242" s="301"/>
      <c r="BA242" s="301"/>
      <c r="BB242" s="301"/>
      <c r="BC242" s="301"/>
      <c r="BD242" s="301">
        <v>0.016</v>
      </c>
      <c r="BE242" s="98" t="s">
        <v>531</v>
      </c>
    </row>
    <row r="243" spans="3:56" ht="12.75">
      <c r="C243" s="155" t="s">
        <v>256</v>
      </c>
      <c r="D243" s="203"/>
      <c r="E243" s="149"/>
      <c r="F243" s="150">
        <v>0.003</v>
      </c>
      <c r="G243" s="151"/>
      <c r="H243" s="123"/>
      <c r="I243" s="151"/>
      <c r="J243" s="150">
        <v>0.003</v>
      </c>
      <c r="K243" s="153"/>
      <c r="L243" s="200"/>
      <c r="M243" s="153"/>
      <c r="N243" s="153"/>
      <c r="O243" s="153"/>
      <c r="P243" s="153"/>
      <c r="Q243" s="153"/>
      <c r="R243" s="153"/>
      <c r="S243" s="153"/>
      <c r="T243" s="171">
        <f t="shared" si="64"/>
        <v>0.003</v>
      </c>
      <c r="U243" s="154">
        <v>0</v>
      </c>
      <c r="V243" s="236">
        <f t="shared" si="62"/>
        <v>0.003</v>
      </c>
      <c r="W243" s="153"/>
      <c r="X243" s="153"/>
      <c r="Y243" s="128"/>
      <c r="Z243" s="168">
        <f t="shared" si="63"/>
        <v>0.003</v>
      </c>
      <c r="AB243" s="88">
        <f t="shared" si="53"/>
        <v>0</v>
      </c>
      <c r="AD243" s="298"/>
      <c r="AE243" s="298"/>
      <c r="AF243" s="298"/>
      <c r="AG243" s="298">
        <v>0.003</v>
      </c>
      <c r="AH243" s="298"/>
      <c r="AI243" s="298"/>
      <c r="AJ243" s="298">
        <f t="shared" si="65"/>
        <v>0</v>
      </c>
      <c r="AK243" s="298"/>
      <c r="AL243" s="298"/>
      <c r="AM243" s="301"/>
      <c r="AN243" s="301">
        <f t="shared" si="66"/>
        <v>0.003</v>
      </c>
      <c r="AP243" s="301"/>
      <c r="AQ243" s="301"/>
      <c r="AR243" s="301"/>
      <c r="AS243" s="301"/>
      <c r="AT243" s="301"/>
      <c r="AU243" s="301"/>
      <c r="AV243" s="301"/>
      <c r="AW243" s="301"/>
      <c r="AX243" s="301"/>
      <c r="AY243" s="301"/>
      <c r="AZ243" s="301"/>
      <c r="BA243" s="301"/>
      <c r="BB243" s="301"/>
      <c r="BC243" s="301"/>
      <c r="BD243" s="301"/>
    </row>
    <row r="244" spans="3:56" ht="12.75">
      <c r="C244" s="155" t="s">
        <v>257</v>
      </c>
      <c r="D244" s="203"/>
      <c r="E244" s="149"/>
      <c r="F244" s="150">
        <v>0.003</v>
      </c>
      <c r="G244" s="151"/>
      <c r="H244" s="123"/>
      <c r="I244" s="151"/>
      <c r="J244" s="150">
        <v>0.003</v>
      </c>
      <c r="K244" s="153"/>
      <c r="L244" s="200"/>
      <c r="M244" s="153"/>
      <c r="N244" s="153"/>
      <c r="O244" s="153"/>
      <c r="P244" s="153"/>
      <c r="Q244" s="153"/>
      <c r="R244" s="153"/>
      <c r="S244" s="153"/>
      <c r="T244" s="171">
        <f t="shared" si="64"/>
        <v>0.003</v>
      </c>
      <c r="U244" s="154">
        <v>0.008</v>
      </c>
      <c r="V244" s="236">
        <f t="shared" si="62"/>
        <v>-0.005</v>
      </c>
      <c r="W244" s="153"/>
      <c r="X244" s="153"/>
      <c r="Y244" s="128"/>
      <c r="Z244" s="168">
        <f t="shared" si="63"/>
        <v>0.003</v>
      </c>
      <c r="AB244" s="88">
        <f t="shared" si="53"/>
        <v>0</v>
      </c>
      <c r="AD244" s="299"/>
      <c r="AE244" s="299"/>
      <c r="AF244" s="299"/>
      <c r="AG244" s="299"/>
      <c r="AH244" s="299"/>
      <c r="AI244" s="299"/>
      <c r="AJ244" s="299">
        <f t="shared" si="65"/>
        <v>0</v>
      </c>
      <c r="AK244" s="299"/>
      <c r="AL244" s="299">
        <v>0.003</v>
      </c>
      <c r="AM244" s="302"/>
      <c r="AN244" s="302">
        <f t="shared" si="66"/>
        <v>0.003</v>
      </c>
      <c r="AP244" s="302"/>
      <c r="AQ244" s="302"/>
      <c r="AR244" s="302"/>
      <c r="AS244" s="302"/>
      <c r="AT244" s="302"/>
      <c r="AU244" s="302"/>
      <c r="AV244" s="302"/>
      <c r="AW244" s="302"/>
      <c r="AX244" s="302"/>
      <c r="AY244" s="302"/>
      <c r="AZ244" s="302"/>
      <c r="BA244" s="302"/>
      <c r="BB244" s="302"/>
      <c r="BC244" s="302"/>
      <c r="BD244" s="302"/>
    </row>
    <row r="245" spans="3:28" ht="12.75">
      <c r="C245" s="155"/>
      <c r="D245" s="203"/>
      <c r="E245" s="149"/>
      <c r="F245" s="150"/>
      <c r="G245" s="150"/>
      <c r="H245" s="123"/>
      <c r="I245" s="151"/>
      <c r="J245" s="152"/>
      <c r="K245" s="153"/>
      <c r="L245" s="200"/>
      <c r="M245" s="153"/>
      <c r="N245" s="153"/>
      <c r="O245" s="153"/>
      <c r="P245" s="153"/>
      <c r="Q245" s="131"/>
      <c r="R245" s="131"/>
      <c r="S245" s="131"/>
      <c r="T245" s="152"/>
      <c r="U245" s="153"/>
      <c r="V245" s="231"/>
      <c r="W245" s="131"/>
      <c r="X245" s="131"/>
      <c r="Y245" s="128"/>
      <c r="Z245" s="168"/>
      <c r="AB245" s="88">
        <f t="shared" si="53"/>
        <v>0</v>
      </c>
    </row>
    <row r="246" spans="3:56" ht="12.75">
      <c r="C246" s="163" t="s">
        <v>199</v>
      </c>
      <c r="D246" s="255"/>
      <c r="E246" s="164"/>
      <c r="F246" s="165">
        <f>SUM(F238:F244)</f>
        <v>0.25</v>
      </c>
      <c r="G246" s="165"/>
      <c r="H246" s="123"/>
      <c r="I246" s="166"/>
      <c r="J246" s="164">
        <f>SUM(J238:J244)</f>
        <v>0.028999999999999998</v>
      </c>
      <c r="K246" s="154">
        <f aca="true" t="shared" si="67" ref="K246:S246">SUM(K238:K244)</f>
        <v>0.004</v>
      </c>
      <c r="L246" s="154">
        <f t="shared" si="67"/>
        <v>0.024</v>
      </c>
      <c r="M246" s="154">
        <f t="shared" si="67"/>
        <v>0.024</v>
      </c>
      <c r="N246" s="154">
        <f t="shared" si="67"/>
        <v>0.024</v>
      </c>
      <c r="O246" s="154">
        <f t="shared" si="67"/>
        <v>0.02</v>
      </c>
      <c r="P246" s="154">
        <f t="shared" si="67"/>
        <v>0.02</v>
      </c>
      <c r="Q246" s="131">
        <f t="shared" si="67"/>
        <v>0.02</v>
      </c>
      <c r="R246" s="131">
        <f t="shared" si="67"/>
        <v>0.02</v>
      </c>
      <c r="S246" s="131">
        <f t="shared" si="67"/>
        <v>0.02</v>
      </c>
      <c r="T246" s="167">
        <f aca="true" t="shared" si="68" ref="T246:Z246">SUM(T238:T244)</f>
        <v>0.20500000000000002</v>
      </c>
      <c r="U246" s="154">
        <f t="shared" si="68"/>
        <v>0.09</v>
      </c>
      <c r="V246" s="232">
        <f t="shared" si="68"/>
        <v>0.115</v>
      </c>
      <c r="W246" s="131">
        <f t="shared" si="68"/>
        <v>0.02</v>
      </c>
      <c r="X246" s="131">
        <f t="shared" si="68"/>
        <v>0.025</v>
      </c>
      <c r="Y246" s="131">
        <f t="shared" si="68"/>
        <v>0</v>
      </c>
      <c r="Z246" s="168">
        <f t="shared" si="68"/>
        <v>0.25</v>
      </c>
      <c r="AB246" s="88">
        <f t="shared" si="53"/>
        <v>0</v>
      </c>
      <c r="AD246" s="170">
        <f>SUM(AD238:AD244)</f>
        <v>0</v>
      </c>
      <c r="AE246" s="170">
        <f aca="true" t="shared" si="69" ref="AE246:BD246">SUM(AE238:AE244)</f>
        <v>0.011</v>
      </c>
      <c r="AF246" s="170">
        <f t="shared" si="69"/>
        <v>0</v>
      </c>
      <c r="AG246" s="170">
        <f t="shared" si="69"/>
        <v>0.20800000000000002</v>
      </c>
      <c r="AH246" s="170">
        <f t="shared" si="69"/>
        <v>0</v>
      </c>
      <c r="AI246" s="170">
        <f t="shared" si="69"/>
        <v>0</v>
      </c>
      <c r="AJ246" s="170">
        <f t="shared" si="69"/>
        <v>0.016</v>
      </c>
      <c r="AK246" s="170">
        <f t="shared" si="69"/>
        <v>0</v>
      </c>
      <c r="AL246" s="170">
        <f t="shared" si="69"/>
        <v>0.003</v>
      </c>
      <c r="AM246" s="170">
        <f t="shared" si="69"/>
        <v>0.012</v>
      </c>
      <c r="AN246" s="170">
        <f t="shared" si="69"/>
        <v>0.25</v>
      </c>
      <c r="AP246" s="170">
        <f t="shared" si="69"/>
        <v>0</v>
      </c>
      <c r="AQ246" s="170">
        <f t="shared" si="69"/>
        <v>0</v>
      </c>
      <c r="AR246" s="170">
        <f t="shared" si="69"/>
        <v>0</v>
      </c>
      <c r="AS246" s="170">
        <f t="shared" si="69"/>
        <v>0</v>
      </c>
      <c r="AT246" s="170">
        <f t="shared" si="69"/>
        <v>0</v>
      </c>
      <c r="AU246" s="170">
        <f t="shared" si="69"/>
        <v>0</v>
      </c>
      <c r="AV246" s="170">
        <f t="shared" si="69"/>
        <v>0</v>
      </c>
      <c r="AW246" s="170">
        <f t="shared" si="69"/>
        <v>0</v>
      </c>
      <c r="AX246" s="170">
        <f t="shared" si="69"/>
        <v>0</v>
      </c>
      <c r="AY246" s="170">
        <f t="shared" si="69"/>
        <v>0</v>
      </c>
      <c r="AZ246" s="170">
        <f t="shared" si="69"/>
        <v>0</v>
      </c>
      <c r="BA246" s="170">
        <f t="shared" si="69"/>
        <v>0</v>
      </c>
      <c r="BB246" s="170">
        <f t="shared" si="69"/>
        <v>0</v>
      </c>
      <c r="BC246" s="170">
        <f t="shared" si="69"/>
        <v>0</v>
      </c>
      <c r="BD246" s="170">
        <f t="shared" si="69"/>
        <v>0.016</v>
      </c>
    </row>
    <row r="247" spans="3:28" ht="12.75">
      <c r="C247" s="272"/>
      <c r="D247" s="255"/>
      <c r="E247" s="164"/>
      <c r="F247" s="165"/>
      <c r="G247" s="165"/>
      <c r="H247" s="123"/>
      <c r="I247" s="166"/>
      <c r="J247" s="167"/>
      <c r="K247" s="154"/>
      <c r="L247" s="221"/>
      <c r="M247" s="154"/>
      <c r="N247" s="154"/>
      <c r="O247" s="154"/>
      <c r="P247" s="154"/>
      <c r="Q247" s="127"/>
      <c r="R247" s="127"/>
      <c r="S247" s="127"/>
      <c r="T247" s="167"/>
      <c r="U247" s="154"/>
      <c r="V247" s="232"/>
      <c r="W247" s="127"/>
      <c r="X247" s="127"/>
      <c r="Y247" s="128"/>
      <c r="Z247" s="168"/>
      <c r="AB247" s="88">
        <f t="shared" si="53"/>
        <v>0</v>
      </c>
    </row>
    <row r="248" spans="3:28" ht="12.75">
      <c r="C248" s="163" t="s">
        <v>126</v>
      </c>
      <c r="D248" s="255"/>
      <c r="E248" s="164"/>
      <c r="F248" s="165"/>
      <c r="G248" s="165"/>
      <c r="H248" s="123"/>
      <c r="I248" s="166"/>
      <c r="J248" s="167"/>
      <c r="K248" s="154"/>
      <c r="L248" s="221"/>
      <c r="M248" s="154"/>
      <c r="N248" s="154"/>
      <c r="O248" s="154"/>
      <c r="P248" s="154"/>
      <c r="Q248" s="127"/>
      <c r="R248" s="127"/>
      <c r="S248" s="127"/>
      <c r="T248" s="167"/>
      <c r="U248" s="154"/>
      <c r="V248" s="232"/>
      <c r="W248" s="127"/>
      <c r="X248" s="127"/>
      <c r="Y248" s="128"/>
      <c r="Z248" s="168"/>
      <c r="AB248" s="88">
        <f t="shared" si="53"/>
        <v>0</v>
      </c>
    </row>
    <row r="249" spans="3:28" ht="12.75">
      <c r="C249" s="163"/>
      <c r="D249" s="255"/>
      <c r="E249" s="164"/>
      <c r="F249" s="165"/>
      <c r="G249" s="165"/>
      <c r="H249" s="123"/>
      <c r="I249" s="166"/>
      <c r="J249" s="167"/>
      <c r="K249" s="154"/>
      <c r="L249" s="221"/>
      <c r="M249" s="154"/>
      <c r="N249" s="154"/>
      <c r="O249" s="154"/>
      <c r="P249" s="154"/>
      <c r="Q249" s="127"/>
      <c r="R249" s="127"/>
      <c r="S249" s="127"/>
      <c r="T249" s="167"/>
      <c r="U249" s="154"/>
      <c r="V249" s="232"/>
      <c r="W249" s="127"/>
      <c r="X249" s="127"/>
      <c r="Y249" s="128"/>
      <c r="Z249" s="168"/>
      <c r="AB249" s="88">
        <f t="shared" si="53"/>
        <v>0</v>
      </c>
    </row>
    <row r="250" spans="3:57" ht="12.75">
      <c r="C250" s="155" t="s">
        <v>259</v>
      </c>
      <c r="D250" s="203"/>
      <c r="E250" s="164"/>
      <c r="F250" s="150">
        <v>0.054</v>
      </c>
      <c r="G250" s="165"/>
      <c r="H250" s="123"/>
      <c r="I250" s="166"/>
      <c r="J250" s="152">
        <v>0.007</v>
      </c>
      <c r="K250" s="154"/>
      <c r="L250" s="221"/>
      <c r="M250" s="154"/>
      <c r="N250" s="154"/>
      <c r="O250" s="154"/>
      <c r="P250" s="154"/>
      <c r="Q250" s="127"/>
      <c r="R250" s="127"/>
      <c r="S250" s="127"/>
      <c r="T250" s="171">
        <f>SUM(J250:S250)</f>
        <v>0.007</v>
      </c>
      <c r="U250" s="154">
        <v>0.02</v>
      </c>
      <c r="V250" s="236">
        <f aca="true" t="shared" si="70" ref="V250:V263">T250-U250</f>
        <v>-0.013000000000000001</v>
      </c>
      <c r="W250" s="127">
        <v>0.03</v>
      </c>
      <c r="X250" s="127">
        <v>0.017</v>
      </c>
      <c r="Y250" s="128"/>
      <c r="Z250" s="168">
        <f aca="true" t="shared" si="71" ref="Z250:Z263">T250+SUM(W250:X250)</f>
        <v>0.054</v>
      </c>
      <c r="AB250" s="88">
        <f t="shared" si="53"/>
        <v>0</v>
      </c>
      <c r="AD250" s="297"/>
      <c r="AE250" s="297"/>
      <c r="AF250" s="297"/>
      <c r="AG250" s="297">
        <v>0.014</v>
      </c>
      <c r="AH250" s="297"/>
      <c r="AI250" s="297"/>
      <c r="AJ250" s="297">
        <f aca="true" t="shared" si="72" ref="AJ250:AJ262">SUM(AP250:BD250)</f>
        <v>0.04</v>
      </c>
      <c r="AK250" s="297"/>
      <c r="AL250" s="297"/>
      <c r="AM250" s="300"/>
      <c r="AN250" s="300">
        <f aca="true" t="shared" si="73" ref="AN250:AN255">SUM(AD250:AM250)</f>
        <v>0.054</v>
      </c>
      <c r="AP250" s="300"/>
      <c r="AQ250" s="300"/>
      <c r="AR250" s="300"/>
      <c r="AS250" s="300"/>
      <c r="AT250" s="300"/>
      <c r="AU250" s="300"/>
      <c r="AV250" s="300"/>
      <c r="AW250" s="300"/>
      <c r="AX250" s="300"/>
      <c r="AY250" s="300">
        <v>0.04</v>
      </c>
      <c r="AZ250" s="300"/>
      <c r="BA250" s="300"/>
      <c r="BB250" s="300"/>
      <c r="BC250" s="300"/>
      <c r="BD250" s="300"/>
      <c r="BE250" s="98" t="s">
        <v>544</v>
      </c>
    </row>
    <row r="251" spans="3:56" ht="12.75">
      <c r="C251" s="155" t="s">
        <v>128</v>
      </c>
      <c r="D251" s="203"/>
      <c r="E251" s="149"/>
      <c r="F251" s="150">
        <v>0.185</v>
      </c>
      <c r="G251" s="150"/>
      <c r="H251" s="123"/>
      <c r="I251" s="151"/>
      <c r="J251" s="152"/>
      <c r="K251" s="153"/>
      <c r="L251" s="200">
        <v>0.032</v>
      </c>
      <c r="M251" s="153">
        <v>0.032</v>
      </c>
      <c r="N251" s="153">
        <v>0.032</v>
      </c>
      <c r="O251" s="153">
        <v>0.032</v>
      </c>
      <c r="P251" s="153">
        <v>0.032</v>
      </c>
      <c r="Q251" s="153">
        <v>0.025</v>
      </c>
      <c r="R251" s="153"/>
      <c r="S251" s="153"/>
      <c r="T251" s="171">
        <f aca="true" t="shared" si="74" ref="T251:T263">SUM(J251:S251)</f>
        <v>0.185</v>
      </c>
      <c r="U251" s="154">
        <v>0.019</v>
      </c>
      <c r="V251" s="236">
        <f t="shared" si="70"/>
        <v>0.166</v>
      </c>
      <c r="W251" s="153"/>
      <c r="X251" s="153"/>
      <c r="Y251" s="128"/>
      <c r="Z251" s="168">
        <f t="shared" si="71"/>
        <v>0.185</v>
      </c>
      <c r="AB251" s="88">
        <f t="shared" si="53"/>
        <v>0</v>
      </c>
      <c r="AD251" s="298"/>
      <c r="AE251" s="298"/>
      <c r="AF251" s="298"/>
      <c r="AG251" s="298"/>
      <c r="AH251" s="298"/>
      <c r="AI251" s="298"/>
      <c r="AJ251" s="298">
        <f t="shared" si="72"/>
        <v>0.185</v>
      </c>
      <c r="AK251" s="298"/>
      <c r="AL251" s="298"/>
      <c r="AM251" s="301"/>
      <c r="AN251" s="301">
        <f t="shared" si="73"/>
        <v>0.185</v>
      </c>
      <c r="AP251" s="301"/>
      <c r="AQ251" s="301"/>
      <c r="AR251" s="301"/>
      <c r="AS251" s="301"/>
      <c r="AT251" s="301"/>
      <c r="AU251" s="301"/>
      <c r="AV251" s="301"/>
      <c r="AW251" s="301"/>
      <c r="AX251" s="301"/>
      <c r="AY251" s="301">
        <v>0.185</v>
      </c>
      <c r="AZ251" s="301"/>
      <c r="BA251" s="301"/>
      <c r="BB251" s="301"/>
      <c r="BC251" s="301"/>
      <c r="BD251" s="301"/>
    </row>
    <row r="252" spans="3:56" ht="12.75">
      <c r="C252" s="175" t="s">
        <v>203</v>
      </c>
      <c r="D252" s="258"/>
      <c r="E252" s="149"/>
      <c r="F252" s="150">
        <v>0.035</v>
      </c>
      <c r="G252" s="150"/>
      <c r="H252" s="123"/>
      <c r="I252" s="151"/>
      <c r="J252" s="152"/>
      <c r="K252" s="153"/>
      <c r="L252" s="200">
        <v>0.006</v>
      </c>
      <c r="M252" s="153"/>
      <c r="N252" s="153"/>
      <c r="O252" s="153"/>
      <c r="P252" s="153"/>
      <c r="Q252" s="153"/>
      <c r="R252" s="153"/>
      <c r="S252" s="153"/>
      <c r="T252" s="171">
        <f t="shared" si="74"/>
        <v>0.006</v>
      </c>
      <c r="U252" s="154">
        <v>0</v>
      </c>
      <c r="V252" s="236">
        <f t="shared" si="70"/>
        <v>0.006</v>
      </c>
      <c r="W252" s="153">
        <v>0.02</v>
      </c>
      <c r="X252" s="153">
        <v>0.009</v>
      </c>
      <c r="Y252" s="128"/>
      <c r="Z252" s="168">
        <f t="shared" si="71"/>
        <v>0.034999999999999996</v>
      </c>
      <c r="AB252" s="88">
        <f t="shared" si="53"/>
        <v>0</v>
      </c>
      <c r="AD252" s="298"/>
      <c r="AE252" s="298"/>
      <c r="AF252" s="298"/>
      <c r="AG252" s="298"/>
      <c r="AH252" s="298"/>
      <c r="AI252" s="298"/>
      <c r="AJ252" s="298">
        <f>SUM(AP252:BD252)</f>
        <v>0.035</v>
      </c>
      <c r="AK252" s="298"/>
      <c r="AL252" s="298"/>
      <c r="AM252" s="301"/>
      <c r="AN252" s="301">
        <f t="shared" si="73"/>
        <v>0.035</v>
      </c>
      <c r="AP252" s="301"/>
      <c r="AQ252" s="301"/>
      <c r="AR252" s="301"/>
      <c r="AS252" s="301"/>
      <c r="AT252" s="301"/>
      <c r="AU252" s="301"/>
      <c r="AV252" s="301"/>
      <c r="AW252" s="301"/>
      <c r="AX252" s="301"/>
      <c r="AY252" s="301">
        <v>0.035</v>
      </c>
      <c r="AZ252" s="301"/>
      <c r="BA252" s="301"/>
      <c r="BB252" s="301"/>
      <c r="BC252" s="301"/>
      <c r="BD252" s="301"/>
    </row>
    <row r="253" spans="3:56" ht="12.75">
      <c r="C253" s="155" t="s">
        <v>202</v>
      </c>
      <c r="D253" s="203"/>
      <c r="E253" s="149"/>
      <c r="F253" s="150">
        <v>0.007</v>
      </c>
      <c r="G253" s="150"/>
      <c r="H253" s="123"/>
      <c r="I253" s="151"/>
      <c r="J253" s="152"/>
      <c r="K253" s="153"/>
      <c r="L253" s="200"/>
      <c r="M253" s="153"/>
      <c r="N253" s="153"/>
      <c r="O253" s="153"/>
      <c r="P253" s="153"/>
      <c r="Q253" s="153"/>
      <c r="R253" s="153"/>
      <c r="S253" s="153"/>
      <c r="T253" s="171">
        <f t="shared" si="74"/>
        <v>0</v>
      </c>
      <c r="U253" s="154">
        <v>0</v>
      </c>
      <c r="V253" s="236">
        <f t="shared" si="70"/>
        <v>0</v>
      </c>
      <c r="W253" s="153"/>
      <c r="X253" s="153">
        <v>0.007</v>
      </c>
      <c r="Y253" s="128"/>
      <c r="Z253" s="168">
        <f t="shared" si="71"/>
        <v>0.007</v>
      </c>
      <c r="AB253" s="88">
        <f t="shared" si="53"/>
        <v>0</v>
      </c>
      <c r="AD253" s="298"/>
      <c r="AE253" s="298"/>
      <c r="AF253" s="298"/>
      <c r="AG253" s="298"/>
      <c r="AH253" s="298"/>
      <c r="AI253" s="298"/>
      <c r="AJ253" s="298">
        <f>SUM(AP253:BD253)</f>
        <v>0.007</v>
      </c>
      <c r="AK253" s="298"/>
      <c r="AL253" s="298"/>
      <c r="AM253" s="301"/>
      <c r="AN253" s="301">
        <f t="shared" si="73"/>
        <v>0.007</v>
      </c>
      <c r="AP253" s="301"/>
      <c r="AQ253" s="301"/>
      <c r="AR253" s="301"/>
      <c r="AS253" s="301"/>
      <c r="AT253" s="301"/>
      <c r="AU253" s="301"/>
      <c r="AV253" s="301"/>
      <c r="AW253" s="301"/>
      <c r="AX253" s="301"/>
      <c r="AY253" s="301">
        <v>0.007</v>
      </c>
      <c r="AZ253" s="301"/>
      <c r="BA253" s="301"/>
      <c r="BB253" s="301"/>
      <c r="BC253" s="301"/>
      <c r="BD253" s="301"/>
    </row>
    <row r="254" spans="3:56" ht="12.75">
      <c r="C254" s="155" t="s">
        <v>206</v>
      </c>
      <c r="D254" s="203"/>
      <c r="E254" s="149"/>
      <c r="F254" s="150">
        <v>0.518</v>
      </c>
      <c r="G254" s="150"/>
      <c r="H254" s="123"/>
      <c r="I254" s="151"/>
      <c r="J254" s="152"/>
      <c r="K254" s="153"/>
      <c r="L254" s="200">
        <v>0.052</v>
      </c>
      <c r="M254" s="153">
        <v>0.052</v>
      </c>
      <c r="N254" s="153">
        <v>0.052</v>
      </c>
      <c r="O254" s="153">
        <v>0.052</v>
      </c>
      <c r="P254" s="153">
        <v>0.052</v>
      </c>
      <c r="Q254" s="153">
        <v>0.052</v>
      </c>
      <c r="R254" s="153">
        <v>0.052</v>
      </c>
      <c r="S254" s="153">
        <v>0.052</v>
      </c>
      <c r="T254" s="171">
        <f t="shared" si="74"/>
        <v>0.416</v>
      </c>
      <c r="U254" s="154">
        <v>0.175</v>
      </c>
      <c r="V254" s="236">
        <f t="shared" si="70"/>
        <v>0.241</v>
      </c>
      <c r="W254" s="153">
        <v>0.052</v>
      </c>
      <c r="X254" s="153">
        <v>0.05</v>
      </c>
      <c r="Y254" s="128"/>
      <c r="Z254" s="168">
        <f t="shared" si="71"/>
        <v>0.518</v>
      </c>
      <c r="AB254" s="88">
        <f t="shared" si="53"/>
        <v>0</v>
      </c>
      <c r="AD254" s="298"/>
      <c r="AE254" s="298"/>
      <c r="AF254" s="298"/>
      <c r="AG254" s="298"/>
      <c r="AH254" s="298"/>
      <c r="AI254" s="298"/>
      <c r="AJ254" s="298">
        <f>SUM(AP254:BD254)</f>
        <v>0.518</v>
      </c>
      <c r="AK254" s="298"/>
      <c r="AL254" s="298"/>
      <c r="AM254" s="301"/>
      <c r="AN254" s="301">
        <f t="shared" si="73"/>
        <v>0.518</v>
      </c>
      <c r="AP254" s="301"/>
      <c r="AQ254" s="301"/>
      <c r="AR254" s="301"/>
      <c r="AS254" s="301"/>
      <c r="AT254" s="301"/>
      <c r="AU254" s="301"/>
      <c r="AV254" s="301"/>
      <c r="AW254" s="301"/>
      <c r="AX254" s="301">
        <v>0.518</v>
      </c>
      <c r="AY254" s="301"/>
      <c r="AZ254" s="301"/>
      <c r="BA254" s="301"/>
      <c r="BB254" s="301"/>
      <c r="BC254" s="301"/>
      <c r="BD254" s="301"/>
    </row>
    <row r="255" spans="3:56" ht="12.75">
      <c r="C255" s="155" t="s">
        <v>200</v>
      </c>
      <c r="D255" s="203"/>
      <c r="E255" s="149"/>
      <c r="F255" s="150">
        <v>0.03</v>
      </c>
      <c r="G255" s="151"/>
      <c r="I255" s="151"/>
      <c r="J255" s="152"/>
      <c r="K255" s="153"/>
      <c r="L255" s="200"/>
      <c r="M255" s="153"/>
      <c r="N255" s="153"/>
      <c r="O255" s="153"/>
      <c r="P255" s="153"/>
      <c r="Q255" s="153"/>
      <c r="R255" s="153"/>
      <c r="S255" s="153"/>
      <c r="T255" s="171">
        <f t="shared" si="74"/>
        <v>0</v>
      </c>
      <c r="U255" s="154">
        <v>0</v>
      </c>
      <c r="V255" s="236">
        <f t="shared" si="70"/>
        <v>0</v>
      </c>
      <c r="W255" s="153">
        <v>0.015</v>
      </c>
      <c r="X255" s="153">
        <v>0.015</v>
      </c>
      <c r="Y255" s="128"/>
      <c r="Z255" s="168">
        <f t="shared" si="71"/>
        <v>0.03</v>
      </c>
      <c r="AB255" s="88">
        <f t="shared" si="53"/>
        <v>0</v>
      </c>
      <c r="AD255" s="298"/>
      <c r="AE255" s="298"/>
      <c r="AF255" s="298"/>
      <c r="AG255" s="298"/>
      <c r="AH255" s="298"/>
      <c r="AI255" s="298"/>
      <c r="AJ255" s="298">
        <f t="shared" si="72"/>
        <v>0.03</v>
      </c>
      <c r="AK255" s="298"/>
      <c r="AL255" s="298"/>
      <c r="AM255" s="301"/>
      <c r="AN255" s="301">
        <f t="shared" si="73"/>
        <v>0.03</v>
      </c>
      <c r="AP255" s="301"/>
      <c r="AQ255" s="301"/>
      <c r="AR255" s="301"/>
      <c r="AS255" s="301"/>
      <c r="AT255" s="301"/>
      <c r="AU255" s="301"/>
      <c r="AV255" s="301"/>
      <c r="AW255" s="301"/>
      <c r="AX255" s="301"/>
      <c r="AY255" s="301">
        <v>0.03</v>
      </c>
      <c r="AZ255" s="301"/>
      <c r="BA255" s="301"/>
      <c r="BB255" s="301"/>
      <c r="BC255" s="301"/>
      <c r="BD255" s="301"/>
    </row>
    <row r="256" spans="3:57" ht="12.75">
      <c r="C256" s="175" t="s">
        <v>201</v>
      </c>
      <c r="D256" s="258" t="s">
        <v>614</v>
      </c>
      <c r="E256" s="149"/>
      <c r="F256" s="150">
        <v>0.086</v>
      </c>
      <c r="G256" s="150"/>
      <c r="H256" s="123"/>
      <c r="I256" s="151"/>
      <c r="J256" s="152"/>
      <c r="K256" s="153"/>
      <c r="L256" s="200"/>
      <c r="M256" s="153">
        <v>0.012</v>
      </c>
      <c r="N256" s="153">
        <v>0.012</v>
      </c>
      <c r="O256" s="153">
        <v>0.012</v>
      </c>
      <c r="P256" s="153">
        <v>0.012</v>
      </c>
      <c r="Q256" s="153">
        <v>0.012</v>
      </c>
      <c r="R256" s="153">
        <v>0.012</v>
      </c>
      <c r="S256" s="153">
        <v>0.012</v>
      </c>
      <c r="T256" s="171">
        <f t="shared" si="74"/>
        <v>0.08399999999999999</v>
      </c>
      <c r="U256" s="154">
        <v>0.021</v>
      </c>
      <c r="V256" s="236">
        <f t="shared" si="70"/>
        <v>0.06299999999999999</v>
      </c>
      <c r="W256" s="153">
        <v>0.002</v>
      </c>
      <c r="X256" s="153"/>
      <c r="Y256" s="128"/>
      <c r="Z256" s="168">
        <f t="shared" si="71"/>
        <v>0.086</v>
      </c>
      <c r="AB256" s="88">
        <f t="shared" si="53"/>
        <v>0</v>
      </c>
      <c r="AD256" s="298"/>
      <c r="AE256" s="298"/>
      <c r="AF256" s="298"/>
      <c r="AG256" s="298"/>
      <c r="AH256" s="298"/>
      <c r="AI256" s="298"/>
      <c r="AJ256" s="298">
        <f t="shared" si="72"/>
        <v>0.067</v>
      </c>
      <c r="AK256" s="298"/>
      <c r="AL256" s="298"/>
      <c r="AM256" s="301">
        <v>0.019</v>
      </c>
      <c r="AN256" s="301">
        <f aca="true" t="shared" si="75" ref="AN256:AN263">SUM(AD256:AM256)</f>
        <v>0.08600000000000001</v>
      </c>
      <c r="AP256" s="301"/>
      <c r="AQ256" s="301"/>
      <c r="AR256" s="301"/>
      <c r="AS256" s="301"/>
      <c r="AT256" s="301"/>
      <c r="AU256" s="301"/>
      <c r="AV256" s="301"/>
      <c r="AW256" s="301"/>
      <c r="AX256" s="301"/>
      <c r="AY256" s="301">
        <v>0.067</v>
      </c>
      <c r="AZ256" s="301"/>
      <c r="BA256" s="301"/>
      <c r="BB256" s="301"/>
      <c r="BC256" s="301"/>
      <c r="BD256" s="301"/>
      <c r="BE256" s="98" t="s">
        <v>542</v>
      </c>
    </row>
    <row r="257" spans="3:56" ht="12.75">
      <c r="C257" s="155" t="s">
        <v>258</v>
      </c>
      <c r="D257" s="203"/>
      <c r="E257" s="149"/>
      <c r="F257" s="150">
        <v>0.32</v>
      </c>
      <c r="G257" s="150"/>
      <c r="H257" s="123"/>
      <c r="I257" s="151"/>
      <c r="J257" s="152">
        <v>0.302</v>
      </c>
      <c r="K257" s="153"/>
      <c r="L257" s="200"/>
      <c r="M257" s="153"/>
      <c r="N257" s="153"/>
      <c r="O257" s="153"/>
      <c r="P257" s="153"/>
      <c r="Q257" s="153"/>
      <c r="R257" s="153"/>
      <c r="S257" s="153"/>
      <c r="T257" s="171">
        <f t="shared" si="74"/>
        <v>0.302</v>
      </c>
      <c r="U257" s="154">
        <v>0.385</v>
      </c>
      <c r="V257" s="236">
        <f t="shared" si="70"/>
        <v>-0.08300000000000002</v>
      </c>
      <c r="W257" s="153">
        <v>0.018</v>
      </c>
      <c r="X257" s="153"/>
      <c r="Y257" s="128"/>
      <c r="Z257" s="168">
        <f t="shared" si="71"/>
        <v>0.32</v>
      </c>
      <c r="AB257" s="88">
        <f t="shared" si="53"/>
        <v>0</v>
      </c>
      <c r="AD257" s="298"/>
      <c r="AE257" s="298"/>
      <c r="AF257" s="298"/>
      <c r="AG257" s="298"/>
      <c r="AH257" s="298"/>
      <c r="AI257" s="298"/>
      <c r="AJ257" s="298">
        <f>SUM(AP257:BD257)</f>
        <v>0.32</v>
      </c>
      <c r="AK257" s="298"/>
      <c r="AL257" s="298"/>
      <c r="AM257" s="301"/>
      <c r="AN257" s="301">
        <f t="shared" si="75"/>
        <v>0.32</v>
      </c>
      <c r="AP257" s="301"/>
      <c r="AQ257" s="301"/>
      <c r="AR257" s="301"/>
      <c r="AS257" s="301"/>
      <c r="AT257" s="301"/>
      <c r="AU257" s="301"/>
      <c r="AV257" s="301"/>
      <c r="AW257" s="301"/>
      <c r="AX257" s="301"/>
      <c r="AY257" s="301"/>
      <c r="AZ257" s="301"/>
      <c r="BA257" s="301"/>
      <c r="BB257" s="301"/>
      <c r="BC257" s="301">
        <v>0.32</v>
      </c>
      <c r="BD257" s="301"/>
    </row>
    <row r="258" spans="3:56" ht="12.75">
      <c r="C258" s="155" t="s">
        <v>204</v>
      </c>
      <c r="D258" s="203"/>
      <c r="E258" s="149"/>
      <c r="F258" s="150">
        <v>0.01</v>
      </c>
      <c r="G258" s="150"/>
      <c r="H258" s="123"/>
      <c r="I258" s="151"/>
      <c r="J258" s="152"/>
      <c r="K258" s="153"/>
      <c r="L258" s="200">
        <v>0.01</v>
      </c>
      <c r="M258" s="153"/>
      <c r="N258" s="153"/>
      <c r="O258" s="153"/>
      <c r="P258" s="153"/>
      <c r="Q258" s="153"/>
      <c r="R258" s="153"/>
      <c r="S258" s="153"/>
      <c r="T258" s="171">
        <f t="shared" si="74"/>
        <v>0.01</v>
      </c>
      <c r="U258" s="154">
        <v>0</v>
      </c>
      <c r="V258" s="236">
        <f t="shared" si="70"/>
        <v>0.01</v>
      </c>
      <c r="W258" s="153"/>
      <c r="X258" s="153"/>
      <c r="Y258" s="128"/>
      <c r="Z258" s="168">
        <f t="shared" si="71"/>
        <v>0.01</v>
      </c>
      <c r="AB258" s="88">
        <f t="shared" si="53"/>
        <v>0</v>
      </c>
      <c r="AD258" s="298"/>
      <c r="AE258" s="298"/>
      <c r="AF258" s="298"/>
      <c r="AG258" s="298"/>
      <c r="AH258" s="298"/>
      <c r="AI258" s="298"/>
      <c r="AJ258" s="298">
        <f>SUM(AP258:BD258)</f>
        <v>0.01</v>
      </c>
      <c r="AK258" s="298"/>
      <c r="AL258" s="298"/>
      <c r="AM258" s="301"/>
      <c r="AN258" s="301">
        <f t="shared" si="75"/>
        <v>0.01</v>
      </c>
      <c r="AP258" s="301"/>
      <c r="AQ258" s="301"/>
      <c r="AR258" s="301"/>
      <c r="AS258" s="301"/>
      <c r="AT258" s="301"/>
      <c r="AU258" s="301"/>
      <c r="AV258" s="301"/>
      <c r="AW258" s="301"/>
      <c r="AX258" s="301"/>
      <c r="AY258" s="301">
        <v>0.01</v>
      </c>
      <c r="AZ258" s="301"/>
      <c r="BA258" s="301"/>
      <c r="BB258" s="301"/>
      <c r="BC258" s="301"/>
      <c r="BD258" s="301"/>
    </row>
    <row r="259" spans="3:56" ht="12.75">
      <c r="C259" s="155" t="s">
        <v>129</v>
      </c>
      <c r="D259" s="203"/>
      <c r="E259" s="149"/>
      <c r="F259" s="150">
        <v>0.093</v>
      </c>
      <c r="G259" s="150"/>
      <c r="H259" s="123"/>
      <c r="I259" s="151"/>
      <c r="J259" s="152"/>
      <c r="K259" s="153">
        <v>0.012</v>
      </c>
      <c r="L259" s="200">
        <v>0.011</v>
      </c>
      <c r="M259" s="153">
        <v>0.011</v>
      </c>
      <c r="N259" s="153">
        <v>0.011</v>
      </c>
      <c r="O259" s="153">
        <v>0.01</v>
      </c>
      <c r="P259" s="153">
        <v>0.01</v>
      </c>
      <c r="Q259" s="153">
        <v>0.01</v>
      </c>
      <c r="R259" s="153">
        <v>0.01</v>
      </c>
      <c r="S259" s="153">
        <v>0.008</v>
      </c>
      <c r="T259" s="171">
        <f t="shared" si="74"/>
        <v>0.093</v>
      </c>
      <c r="U259" s="131">
        <v>0</v>
      </c>
      <c r="V259" s="236">
        <f t="shared" si="70"/>
        <v>0.093</v>
      </c>
      <c r="W259" s="153"/>
      <c r="X259" s="153"/>
      <c r="Y259" s="128"/>
      <c r="Z259" s="168">
        <f t="shared" si="71"/>
        <v>0.093</v>
      </c>
      <c r="AB259" s="88">
        <f t="shared" si="53"/>
        <v>0</v>
      </c>
      <c r="AD259" s="298"/>
      <c r="AE259" s="298"/>
      <c r="AF259" s="298"/>
      <c r="AG259" s="298"/>
      <c r="AH259" s="298"/>
      <c r="AI259" s="298"/>
      <c r="AJ259" s="298">
        <f t="shared" si="72"/>
        <v>0.093</v>
      </c>
      <c r="AK259" s="298"/>
      <c r="AL259" s="298"/>
      <c r="AM259" s="301"/>
      <c r="AN259" s="301">
        <f t="shared" si="75"/>
        <v>0.093</v>
      </c>
      <c r="AP259" s="301"/>
      <c r="AQ259" s="301"/>
      <c r="AR259" s="301"/>
      <c r="AS259" s="301"/>
      <c r="AT259" s="301"/>
      <c r="AU259" s="301"/>
      <c r="AV259" s="301"/>
      <c r="AW259" s="301"/>
      <c r="AX259" s="301">
        <v>0.016</v>
      </c>
      <c r="AY259" s="301">
        <v>0.077</v>
      </c>
      <c r="AZ259" s="301"/>
      <c r="BA259" s="301"/>
      <c r="BB259" s="301"/>
      <c r="BC259" s="301"/>
      <c r="BD259" s="301"/>
    </row>
    <row r="260" spans="3:56" ht="12.75">
      <c r="C260" s="155" t="s">
        <v>205</v>
      </c>
      <c r="D260" s="203"/>
      <c r="E260" s="149"/>
      <c r="F260" s="150">
        <v>0.321</v>
      </c>
      <c r="G260" s="150"/>
      <c r="H260" s="123"/>
      <c r="I260" s="151"/>
      <c r="J260" s="152"/>
      <c r="K260" s="153"/>
      <c r="L260" s="200">
        <v>0.029</v>
      </c>
      <c r="M260" s="153">
        <v>0.029</v>
      </c>
      <c r="N260" s="153">
        <v>0.029</v>
      </c>
      <c r="O260" s="153">
        <v>0.029</v>
      </c>
      <c r="P260" s="153">
        <v>0.029</v>
      </c>
      <c r="Q260" s="153">
        <v>0.029</v>
      </c>
      <c r="R260" s="153">
        <v>0.029</v>
      </c>
      <c r="S260" s="153">
        <v>0.029</v>
      </c>
      <c r="T260" s="171">
        <f t="shared" si="74"/>
        <v>0.232</v>
      </c>
      <c r="U260" s="154">
        <v>0</v>
      </c>
      <c r="V260" s="236">
        <f t="shared" si="70"/>
        <v>0.232</v>
      </c>
      <c r="W260" s="153">
        <v>0.05</v>
      </c>
      <c r="X260" s="153">
        <v>0.039</v>
      </c>
      <c r="Y260" s="128"/>
      <c r="Z260" s="168">
        <f t="shared" si="71"/>
        <v>0.321</v>
      </c>
      <c r="AB260" s="88">
        <f t="shared" si="53"/>
        <v>0</v>
      </c>
      <c r="AD260" s="298"/>
      <c r="AE260" s="298"/>
      <c r="AF260" s="298"/>
      <c r="AG260" s="298"/>
      <c r="AH260" s="298"/>
      <c r="AI260" s="298"/>
      <c r="AJ260" s="298">
        <f>SUM(AP260:BD260)</f>
        <v>0.321</v>
      </c>
      <c r="AK260" s="298"/>
      <c r="AL260" s="298"/>
      <c r="AM260" s="301"/>
      <c r="AN260" s="301">
        <f t="shared" si="75"/>
        <v>0.321</v>
      </c>
      <c r="AP260" s="301"/>
      <c r="AQ260" s="301"/>
      <c r="AR260" s="301"/>
      <c r="AS260" s="301"/>
      <c r="AT260" s="301"/>
      <c r="AU260" s="301"/>
      <c r="AV260" s="301"/>
      <c r="AW260" s="301"/>
      <c r="AX260" s="301">
        <v>0.194</v>
      </c>
      <c r="AY260" s="301">
        <v>0.127</v>
      </c>
      <c r="AZ260" s="301"/>
      <c r="BA260" s="301"/>
      <c r="BB260" s="301"/>
      <c r="BC260" s="301"/>
      <c r="BD260" s="301"/>
    </row>
    <row r="261" spans="3:56" ht="12.75">
      <c r="C261" s="155" t="s">
        <v>539</v>
      </c>
      <c r="D261" s="203"/>
      <c r="E261" s="149"/>
      <c r="F261" s="150">
        <v>0.08</v>
      </c>
      <c r="G261" s="150"/>
      <c r="H261" s="123"/>
      <c r="I261" s="151"/>
      <c r="J261" s="152"/>
      <c r="K261" s="153"/>
      <c r="L261" s="200"/>
      <c r="M261" s="153"/>
      <c r="N261" s="153"/>
      <c r="O261" s="153"/>
      <c r="P261" s="153"/>
      <c r="Q261" s="153"/>
      <c r="R261" s="153"/>
      <c r="S261" s="153"/>
      <c r="T261" s="171"/>
      <c r="U261" s="154">
        <v>0.004</v>
      </c>
      <c r="V261" s="236">
        <f t="shared" si="70"/>
        <v>-0.004</v>
      </c>
      <c r="W261" s="153">
        <v>0.04</v>
      </c>
      <c r="X261" s="153">
        <v>0.04</v>
      </c>
      <c r="Y261" s="128"/>
      <c r="Z261" s="168">
        <f t="shared" si="71"/>
        <v>0.08</v>
      </c>
      <c r="AB261" s="88">
        <f t="shared" si="53"/>
        <v>0</v>
      </c>
      <c r="AD261" s="298"/>
      <c r="AE261" s="298"/>
      <c r="AF261" s="298"/>
      <c r="AG261" s="298"/>
      <c r="AH261" s="298"/>
      <c r="AI261" s="298"/>
      <c r="AJ261" s="298">
        <f>SUM(AP261:BD261)</f>
        <v>0.08</v>
      </c>
      <c r="AK261" s="298"/>
      <c r="AL261" s="298"/>
      <c r="AM261" s="301"/>
      <c r="AN261" s="301">
        <f t="shared" si="75"/>
        <v>0.08</v>
      </c>
      <c r="AP261" s="301"/>
      <c r="AQ261" s="301"/>
      <c r="AR261" s="301"/>
      <c r="AS261" s="301"/>
      <c r="AT261" s="301"/>
      <c r="AU261" s="301"/>
      <c r="AV261" s="301"/>
      <c r="AW261" s="301"/>
      <c r="AX261" s="301"/>
      <c r="AY261" s="301">
        <v>0.08</v>
      </c>
      <c r="AZ261" s="301"/>
      <c r="BA261" s="301"/>
      <c r="BB261" s="301"/>
      <c r="BC261" s="301"/>
      <c r="BD261" s="301"/>
    </row>
    <row r="262" spans="3:56" ht="12.75">
      <c r="C262" s="155" t="s">
        <v>127</v>
      </c>
      <c r="D262" s="203"/>
      <c r="E262" s="149"/>
      <c r="F262" s="150">
        <v>0.1</v>
      </c>
      <c r="G262" s="150"/>
      <c r="H262" s="123"/>
      <c r="I262" s="151"/>
      <c r="J262" s="152"/>
      <c r="K262" s="153"/>
      <c r="L262" s="200"/>
      <c r="M262" s="153"/>
      <c r="N262" s="153"/>
      <c r="O262" s="153"/>
      <c r="P262" s="153"/>
      <c r="Q262" s="153"/>
      <c r="R262" s="153"/>
      <c r="S262" s="153"/>
      <c r="T262" s="171">
        <f t="shared" si="74"/>
        <v>0</v>
      </c>
      <c r="U262" s="154">
        <v>0.002</v>
      </c>
      <c r="V262" s="236">
        <f t="shared" si="70"/>
        <v>-0.002</v>
      </c>
      <c r="W262" s="153">
        <v>0.05</v>
      </c>
      <c r="X262" s="153">
        <v>0.05</v>
      </c>
      <c r="Y262" s="128"/>
      <c r="Z262" s="168">
        <f t="shared" si="71"/>
        <v>0.1</v>
      </c>
      <c r="AB262" s="88">
        <f t="shared" si="53"/>
        <v>0</v>
      </c>
      <c r="AD262" s="298"/>
      <c r="AE262" s="298"/>
      <c r="AF262" s="298"/>
      <c r="AG262" s="298"/>
      <c r="AH262" s="298"/>
      <c r="AI262" s="298"/>
      <c r="AJ262" s="298">
        <f t="shared" si="72"/>
        <v>0.1</v>
      </c>
      <c r="AK262" s="298"/>
      <c r="AL262" s="298"/>
      <c r="AM262" s="301"/>
      <c r="AN262" s="301">
        <f t="shared" si="75"/>
        <v>0.1</v>
      </c>
      <c r="AP262" s="301"/>
      <c r="AQ262" s="301"/>
      <c r="AR262" s="301"/>
      <c r="AS262" s="301"/>
      <c r="AT262" s="301"/>
      <c r="AU262" s="301"/>
      <c r="AV262" s="301"/>
      <c r="AW262" s="301"/>
      <c r="AX262" s="301"/>
      <c r="AY262" s="301">
        <v>0.1</v>
      </c>
      <c r="AZ262" s="301"/>
      <c r="BA262" s="301"/>
      <c r="BB262" s="301"/>
      <c r="BC262" s="301"/>
      <c r="BD262" s="301"/>
    </row>
    <row r="263" spans="3:56" ht="12.75">
      <c r="C263" s="155" t="s">
        <v>540</v>
      </c>
      <c r="D263" s="203"/>
      <c r="E263" s="149"/>
      <c r="F263" s="150">
        <v>0.628</v>
      </c>
      <c r="G263" s="150"/>
      <c r="H263" s="123"/>
      <c r="I263" s="151"/>
      <c r="J263" s="152"/>
      <c r="K263" s="153"/>
      <c r="L263" s="200"/>
      <c r="M263" s="153"/>
      <c r="N263" s="153"/>
      <c r="O263" s="153"/>
      <c r="P263" s="153"/>
      <c r="Q263" s="153"/>
      <c r="R263" s="153"/>
      <c r="S263" s="153">
        <v>0.25</v>
      </c>
      <c r="T263" s="171">
        <f t="shared" si="74"/>
        <v>0.25</v>
      </c>
      <c r="U263" s="154">
        <v>0.25</v>
      </c>
      <c r="V263" s="236">
        <f t="shared" si="70"/>
        <v>0</v>
      </c>
      <c r="W263" s="153">
        <v>0.189</v>
      </c>
      <c r="X263" s="153">
        <v>0.189</v>
      </c>
      <c r="Y263" s="128"/>
      <c r="Z263" s="168">
        <f t="shared" si="71"/>
        <v>0.628</v>
      </c>
      <c r="AB263" s="88">
        <f t="shared" si="53"/>
        <v>0</v>
      </c>
      <c r="AD263" s="299"/>
      <c r="AE263" s="299"/>
      <c r="AF263" s="299"/>
      <c r="AG263" s="299">
        <v>0.11</v>
      </c>
      <c r="AH263" s="299"/>
      <c r="AI263" s="299"/>
      <c r="AJ263" s="299">
        <f>SUM(AP263:BD263)</f>
        <v>0.518</v>
      </c>
      <c r="AK263" s="299"/>
      <c r="AL263" s="299"/>
      <c r="AM263" s="302"/>
      <c r="AN263" s="302">
        <f t="shared" si="75"/>
        <v>0.628</v>
      </c>
      <c r="AP263" s="302"/>
      <c r="AQ263" s="302"/>
      <c r="AR263" s="302"/>
      <c r="AS263" s="302"/>
      <c r="AT263" s="302"/>
      <c r="AU263" s="302"/>
      <c r="AV263" s="302"/>
      <c r="AW263" s="302"/>
      <c r="AX263" s="302"/>
      <c r="AY263" s="302">
        <v>0.4</v>
      </c>
      <c r="AZ263" s="302">
        <v>0.107</v>
      </c>
      <c r="BA263" s="302"/>
      <c r="BB263" s="302"/>
      <c r="BC263" s="302"/>
      <c r="BD263" s="302">
        <f>0.011</f>
        <v>0.011</v>
      </c>
    </row>
    <row r="264" spans="3:57" ht="12.75">
      <c r="C264" s="155"/>
      <c r="D264" s="203"/>
      <c r="E264" s="149"/>
      <c r="F264" s="150"/>
      <c r="G264" s="150"/>
      <c r="H264" s="123"/>
      <c r="I264" s="151"/>
      <c r="J264" s="152"/>
      <c r="K264" s="153"/>
      <c r="L264" s="200"/>
      <c r="M264" s="153"/>
      <c r="N264" s="153"/>
      <c r="O264" s="153"/>
      <c r="P264" s="153"/>
      <c r="Q264" s="153"/>
      <c r="R264" s="153"/>
      <c r="S264" s="153"/>
      <c r="T264" s="171"/>
      <c r="U264" s="154"/>
      <c r="V264" s="236"/>
      <c r="W264" s="153"/>
      <c r="X264" s="153"/>
      <c r="Y264" s="128"/>
      <c r="Z264" s="168"/>
      <c r="AB264" s="88">
        <f t="shared" si="53"/>
        <v>0</v>
      </c>
      <c r="BE264" s="98" t="s">
        <v>543</v>
      </c>
    </row>
    <row r="265" spans="2:38" s="173" customFormat="1" ht="12.75">
      <c r="B265" s="170"/>
      <c r="C265" s="155"/>
      <c r="D265" s="203"/>
      <c r="E265" s="149"/>
      <c r="F265" s="150"/>
      <c r="G265" s="150"/>
      <c r="H265" s="171"/>
      <c r="I265" s="151"/>
      <c r="J265" s="152"/>
      <c r="K265" s="153"/>
      <c r="L265" s="200"/>
      <c r="M265" s="153"/>
      <c r="N265" s="153"/>
      <c r="O265" s="153"/>
      <c r="P265" s="153"/>
      <c r="Q265" s="131"/>
      <c r="R265" s="131"/>
      <c r="S265" s="131"/>
      <c r="T265" s="167"/>
      <c r="U265" s="154"/>
      <c r="V265" s="232"/>
      <c r="W265" s="131"/>
      <c r="X265" s="131"/>
      <c r="Y265" s="172"/>
      <c r="Z265" s="168"/>
      <c r="AA265" s="170"/>
      <c r="AB265" s="88">
        <f t="shared" si="53"/>
        <v>0</v>
      </c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</row>
    <row r="266" spans="3:56" ht="12.75">
      <c r="C266" s="163" t="s">
        <v>207</v>
      </c>
      <c r="D266" s="255"/>
      <c r="E266" s="164"/>
      <c r="F266" s="165">
        <f>SUM(F250:F263)</f>
        <v>2.467</v>
      </c>
      <c r="G266" s="165"/>
      <c r="H266" s="123"/>
      <c r="I266" s="166"/>
      <c r="J266" s="167">
        <f aca="true" t="shared" si="76" ref="J266:V266">SUM(J250:J263)</f>
        <v>0.309</v>
      </c>
      <c r="K266" s="154">
        <f t="shared" si="76"/>
        <v>0.012</v>
      </c>
      <c r="L266" s="221">
        <f t="shared" si="76"/>
        <v>0.13999999999999999</v>
      </c>
      <c r="M266" s="154">
        <f aca="true" t="shared" si="77" ref="M266:R266">SUM(M250:M263)</f>
        <v>0.13599999999999998</v>
      </c>
      <c r="N266" s="154">
        <f t="shared" si="77"/>
        <v>0.13599999999999998</v>
      </c>
      <c r="O266" s="154">
        <f t="shared" si="77"/>
        <v>0.13499999999999998</v>
      </c>
      <c r="P266" s="154">
        <f t="shared" si="77"/>
        <v>0.13499999999999998</v>
      </c>
      <c r="Q266" s="154">
        <f t="shared" si="77"/>
        <v>0.128</v>
      </c>
      <c r="R266" s="154">
        <f t="shared" si="77"/>
        <v>0.103</v>
      </c>
      <c r="S266" s="154">
        <f>SUM(S250:S263)</f>
        <v>0.351</v>
      </c>
      <c r="T266" s="167">
        <f t="shared" si="76"/>
        <v>1.585</v>
      </c>
      <c r="U266" s="221">
        <f t="shared" si="76"/>
        <v>0.876</v>
      </c>
      <c r="V266" s="232">
        <f t="shared" si="76"/>
        <v>0.709</v>
      </c>
      <c r="W266" s="154">
        <f>SUM(W250:W263)</f>
        <v>0.466</v>
      </c>
      <c r="X266" s="154">
        <f>SUM(X250:X263)</f>
        <v>0.41600000000000004</v>
      </c>
      <c r="Y266" s="128"/>
      <c r="Z266" s="168">
        <f>SUM(Z250:Z263)</f>
        <v>2.467</v>
      </c>
      <c r="AB266" s="88">
        <f t="shared" si="53"/>
        <v>0</v>
      </c>
      <c r="AD266" s="170">
        <f>SUM(AD250:AD263)</f>
        <v>0</v>
      </c>
      <c r="AE266" s="170">
        <f aca="true" t="shared" si="78" ref="AE266:BD266">SUM(AE250:AE263)</f>
        <v>0</v>
      </c>
      <c r="AF266" s="170">
        <f t="shared" si="78"/>
        <v>0</v>
      </c>
      <c r="AG266" s="170">
        <f t="shared" si="78"/>
        <v>0.124</v>
      </c>
      <c r="AH266" s="170">
        <f t="shared" si="78"/>
        <v>0</v>
      </c>
      <c r="AI266" s="170">
        <f t="shared" si="78"/>
        <v>0</v>
      </c>
      <c r="AJ266" s="170">
        <f t="shared" si="78"/>
        <v>2.3240000000000003</v>
      </c>
      <c r="AK266" s="170">
        <f t="shared" si="78"/>
        <v>0</v>
      </c>
      <c r="AL266" s="170">
        <f t="shared" si="78"/>
        <v>0</v>
      </c>
      <c r="AM266" s="170">
        <f t="shared" si="78"/>
        <v>0.019</v>
      </c>
      <c r="AN266" s="170">
        <f t="shared" si="78"/>
        <v>2.467</v>
      </c>
      <c r="AP266" s="170">
        <f t="shared" si="78"/>
        <v>0</v>
      </c>
      <c r="AQ266" s="170">
        <f t="shared" si="78"/>
        <v>0</v>
      </c>
      <c r="AR266" s="170">
        <f t="shared" si="78"/>
        <v>0</v>
      </c>
      <c r="AS266" s="170">
        <f t="shared" si="78"/>
        <v>0</v>
      </c>
      <c r="AT266" s="170">
        <f t="shared" si="78"/>
        <v>0</v>
      </c>
      <c r="AU266" s="170">
        <f t="shared" si="78"/>
        <v>0</v>
      </c>
      <c r="AV266" s="170">
        <f t="shared" si="78"/>
        <v>0</v>
      </c>
      <c r="AW266" s="170">
        <f t="shared" si="78"/>
        <v>0</v>
      </c>
      <c r="AX266" s="170">
        <f t="shared" si="78"/>
        <v>0.728</v>
      </c>
      <c r="AY266" s="170">
        <f t="shared" si="78"/>
        <v>1.158</v>
      </c>
      <c r="AZ266" s="170">
        <f t="shared" si="78"/>
        <v>0.107</v>
      </c>
      <c r="BA266" s="170">
        <f t="shared" si="78"/>
        <v>0</v>
      </c>
      <c r="BB266" s="170">
        <f t="shared" si="78"/>
        <v>0</v>
      </c>
      <c r="BC266" s="170">
        <f t="shared" si="78"/>
        <v>0.32</v>
      </c>
      <c r="BD266" s="170">
        <f t="shared" si="78"/>
        <v>0.011</v>
      </c>
    </row>
    <row r="267" spans="3:28" ht="12.75">
      <c r="C267" s="155"/>
      <c r="D267" s="203"/>
      <c r="E267" s="149"/>
      <c r="F267" s="150"/>
      <c r="G267" s="150"/>
      <c r="H267" s="123"/>
      <c r="I267" s="151"/>
      <c r="J267" s="152"/>
      <c r="K267" s="153"/>
      <c r="L267" s="200"/>
      <c r="M267" s="153"/>
      <c r="N267" s="153"/>
      <c r="O267" s="153"/>
      <c r="P267" s="153"/>
      <c r="Q267" s="127"/>
      <c r="R267" s="127"/>
      <c r="S267" s="127"/>
      <c r="T267" s="167"/>
      <c r="U267" s="154"/>
      <c r="V267" s="232"/>
      <c r="W267" s="127"/>
      <c r="X267" s="127"/>
      <c r="Y267" s="128"/>
      <c r="Z267" s="168"/>
      <c r="AB267" s="88">
        <f t="shared" si="53"/>
        <v>0</v>
      </c>
    </row>
    <row r="268" spans="3:28" ht="12.75">
      <c r="C268" s="163" t="s">
        <v>21</v>
      </c>
      <c r="D268" s="255"/>
      <c r="E268" s="149"/>
      <c r="F268" s="150"/>
      <c r="G268" s="150"/>
      <c r="H268" s="123"/>
      <c r="I268" s="151"/>
      <c r="J268" s="152"/>
      <c r="K268" s="153"/>
      <c r="L268" s="200"/>
      <c r="M268" s="153"/>
      <c r="N268" s="153"/>
      <c r="O268" s="153"/>
      <c r="P268" s="153"/>
      <c r="Q268" s="127"/>
      <c r="R268" s="127"/>
      <c r="S268" s="127"/>
      <c r="T268" s="167"/>
      <c r="U268" s="154"/>
      <c r="V268" s="232"/>
      <c r="W268" s="127"/>
      <c r="X268" s="127"/>
      <c r="Y268" s="128"/>
      <c r="Z268" s="168"/>
      <c r="AB268" s="88">
        <f t="shared" si="53"/>
        <v>0</v>
      </c>
    </row>
    <row r="269" spans="3:28" ht="12.75">
      <c r="C269" s="148" t="s">
        <v>208</v>
      </c>
      <c r="D269" s="252"/>
      <c r="E269" s="149"/>
      <c r="F269" s="150"/>
      <c r="G269" s="150"/>
      <c r="H269" s="123"/>
      <c r="I269" s="151"/>
      <c r="J269" s="152"/>
      <c r="K269" s="153"/>
      <c r="L269" s="200"/>
      <c r="M269" s="153"/>
      <c r="N269" s="153"/>
      <c r="O269" s="153"/>
      <c r="P269" s="153"/>
      <c r="Q269" s="127"/>
      <c r="R269" s="127"/>
      <c r="S269" s="127"/>
      <c r="T269" s="167"/>
      <c r="U269" s="154"/>
      <c r="V269" s="232"/>
      <c r="W269" s="127"/>
      <c r="X269" s="127"/>
      <c r="Y269" s="128"/>
      <c r="Z269" s="168"/>
      <c r="AB269" s="88">
        <f t="shared" si="53"/>
        <v>0</v>
      </c>
    </row>
    <row r="270" spans="3:56" ht="12.75">
      <c r="C270" s="155" t="s">
        <v>209</v>
      </c>
      <c r="D270" s="203"/>
      <c r="E270" s="149"/>
      <c r="F270" s="150">
        <v>0.106</v>
      </c>
      <c r="G270" s="150"/>
      <c r="H270" s="123"/>
      <c r="I270" s="151"/>
      <c r="J270" s="152">
        <v>0.005</v>
      </c>
      <c r="K270" s="153">
        <v>0.005</v>
      </c>
      <c r="L270" s="200">
        <v>0.01</v>
      </c>
      <c r="M270" s="153">
        <v>0.02</v>
      </c>
      <c r="N270" s="153">
        <v>0.02</v>
      </c>
      <c r="O270" s="153">
        <v>0.03</v>
      </c>
      <c r="P270" s="153">
        <v>0.016</v>
      </c>
      <c r="Q270" s="127"/>
      <c r="R270" s="127"/>
      <c r="S270" s="127"/>
      <c r="T270" s="171">
        <f>SUM(J270:S270)</f>
        <v>0.106</v>
      </c>
      <c r="U270" s="154">
        <v>0.109</v>
      </c>
      <c r="V270" s="236">
        <f aca="true" t="shared" si="79" ref="V270:V281">T270-U270</f>
        <v>-0.0030000000000000027</v>
      </c>
      <c r="W270" s="127"/>
      <c r="X270" s="127"/>
      <c r="Y270" s="128"/>
      <c r="Z270" s="168">
        <f>T270+SUM(W270:X270)</f>
        <v>0.106</v>
      </c>
      <c r="AB270" s="88">
        <f t="shared" si="53"/>
        <v>0</v>
      </c>
      <c r="AD270" s="297"/>
      <c r="AE270" s="297"/>
      <c r="AF270" s="297"/>
      <c r="AG270" s="297">
        <v>0.106</v>
      </c>
      <c r="AH270" s="297"/>
      <c r="AI270" s="297"/>
      <c r="AJ270" s="297">
        <f aca="true" t="shared" si="80" ref="AJ270:AJ281">SUM(AP270:BD270)</f>
        <v>0</v>
      </c>
      <c r="AK270" s="297"/>
      <c r="AL270" s="297"/>
      <c r="AM270" s="300"/>
      <c r="AN270" s="300">
        <f aca="true" t="shared" si="81" ref="AN270:AN281">SUM(AD270:AM270)</f>
        <v>0.106</v>
      </c>
      <c r="AP270" s="300"/>
      <c r="AQ270" s="300"/>
      <c r="AR270" s="300"/>
      <c r="AS270" s="300"/>
      <c r="AT270" s="300"/>
      <c r="AU270" s="300"/>
      <c r="AV270" s="300"/>
      <c r="AW270" s="300"/>
      <c r="AX270" s="300"/>
      <c r="AY270" s="300"/>
      <c r="AZ270" s="300"/>
      <c r="BA270" s="300"/>
      <c r="BB270" s="300"/>
      <c r="BC270" s="300"/>
      <c r="BD270" s="300"/>
    </row>
    <row r="271" spans="3:56" ht="12.75">
      <c r="C271" s="155" t="s">
        <v>210</v>
      </c>
      <c r="D271" s="203"/>
      <c r="E271" s="149"/>
      <c r="F271" s="150">
        <v>0.045</v>
      </c>
      <c r="G271" s="150"/>
      <c r="H271" s="123"/>
      <c r="I271" s="151"/>
      <c r="J271" s="152">
        <v>0.037</v>
      </c>
      <c r="K271" s="153">
        <v>0.003</v>
      </c>
      <c r="L271" s="200">
        <v>0.003</v>
      </c>
      <c r="M271" s="153">
        <v>0.002</v>
      </c>
      <c r="N271" s="153"/>
      <c r="O271" s="153"/>
      <c r="P271" s="153"/>
      <c r="Q271" s="127"/>
      <c r="R271" s="127"/>
      <c r="S271" s="127"/>
      <c r="T271" s="171">
        <f aca="true" t="shared" si="82" ref="T271:T281">SUM(J271:S271)</f>
        <v>0.045000000000000005</v>
      </c>
      <c r="U271" s="154">
        <v>0.056</v>
      </c>
      <c r="V271" s="236">
        <f t="shared" si="79"/>
        <v>-0.010999999999999996</v>
      </c>
      <c r="W271" s="127"/>
      <c r="X271" s="127"/>
      <c r="Y271" s="128"/>
      <c r="Z271" s="168">
        <f>T271+SUM(W271:X271)</f>
        <v>0.045000000000000005</v>
      </c>
      <c r="AB271" s="88">
        <f t="shared" si="53"/>
        <v>0</v>
      </c>
      <c r="AD271" s="298"/>
      <c r="AE271" s="298"/>
      <c r="AF271" s="298"/>
      <c r="AG271" s="298">
        <v>0.045</v>
      </c>
      <c r="AH271" s="298"/>
      <c r="AI271" s="298"/>
      <c r="AJ271" s="298">
        <f t="shared" si="80"/>
        <v>0</v>
      </c>
      <c r="AK271" s="298"/>
      <c r="AL271" s="298"/>
      <c r="AM271" s="301"/>
      <c r="AN271" s="301">
        <f t="shared" si="81"/>
        <v>0.045</v>
      </c>
      <c r="AP271" s="301"/>
      <c r="AQ271" s="301"/>
      <c r="AR271" s="301"/>
      <c r="AS271" s="301"/>
      <c r="AT271" s="301"/>
      <c r="AU271" s="301"/>
      <c r="AV271" s="301"/>
      <c r="AW271" s="301"/>
      <c r="AX271" s="301"/>
      <c r="AY271" s="301"/>
      <c r="AZ271" s="301"/>
      <c r="BA271" s="301"/>
      <c r="BB271" s="301"/>
      <c r="BC271" s="301"/>
      <c r="BD271" s="301"/>
    </row>
    <row r="272" spans="3:57" ht="12.75">
      <c r="C272" s="155" t="s">
        <v>612</v>
      </c>
      <c r="D272" s="203"/>
      <c r="E272" s="149"/>
      <c r="F272" s="150">
        <v>0.101</v>
      </c>
      <c r="G272" s="150"/>
      <c r="H272" s="262">
        <v>37987</v>
      </c>
      <c r="I272" s="263">
        <v>38108</v>
      </c>
      <c r="J272" s="152"/>
      <c r="K272" s="153"/>
      <c r="L272" s="200"/>
      <c r="M272" s="153"/>
      <c r="N272" s="153"/>
      <c r="O272" s="153"/>
      <c r="P272" s="153"/>
      <c r="Q272" s="127"/>
      <c r="R272" s="127"/>
      <c r="S272" s="127"/>
      <c r="T272" s="171">
        <f>SUM(J272:S272)</f>
        <v>0</v>
      </c>
      <c r="U272" s="154">
        <v>0.002</v>
      </c>
      <c r="V272" s="236">
        <f t="shared" si="79"/>
        <v>-0.002</v>
      </c>
      <c r="W272" s="127"/>
      <c r="X272" s="127">
        <v>0.101</v>
      </c>
      <c r="Y272" s="128"/>
      <c r="Z272" s="168">
        <f>T272+SUM(W272:X272)</f>
        <v>0.101</v>
      </c>
      <c r="AD272" s="298"/>
      <c r="AE272" s="298"/>
      <c r="AF272" s="298">
        <v>0.03</v>
      </c>
      <c r="AG272" s="298"/>
      <c r="AH272" s="298"/>
      <c r="AI272" s="298"/>
      <c r="AJ272" s="298">
        <f t="shared" si="80"/>
        <v>0.071</v>
      </c>
      <c r="AK272" s="298"/>
      <c r="AL272" s="298"/>
      <c r="AM272" s="301"/>
      <c r="AN272" s="301">
        <f t="shared" si="81"/>
        <v>0.10099999999999999</v>
      </c>
      <c r="AP272" s="301"/>
      <c r="AQ272" s="301"/>
      <c r="AR272" s="301">
        <v>0.071</v>
      </c>
      <c r="AS272" s="301"/>
      <c r="AT272" s="301"/>
      <c r="AU272" s="301"/>
      <c r="AV272" s="301"/>
      <c r="AW272" s="301"/>
      <c r="AX272" s="301"/>
      <c r="AY272" s="301"/>
      <c r="AZ272" s="301"/>
      <c r="BA272" s="301"/>
      <c r="BB272" s="301"/>
      <c r="BC272" s="301"/>
      <c r="BD272" s="301"/>
      <c r="BE272" s="98" t="s">
        <v>613</v>
      </c>
    </row>
    <row r="273" spans="3:56" ht="12.75">
      <c r="C273" s="155" t="s">
        <v>247</v>
      </c>
      <c r="D273" s="203"/>
      <c r="E273" s="149"/>
      <c r="F273" s="150">
        <v>0.042</v>
      </c>
      <c r="G273" s="150"/>
      <c r="H273" s="123"/>
      <c r="I273" s="151"/>
      <c r="J273" s="152">
        <v>0.042</v>
      </c>
      <c r="K273" s="153"/>
      <c r="L273" s="200"/>
      <c r="M273" s="153"/>
      <c r="N273" s="153"/>
      <c r="O273" s="153"/>
      <c r="P273" s="153"/>
      <c r="Q273" s="127"/>
      <c r="R273" s="127"/>
      <c r="S273" s="127"/>
      <c r="T273" s="171">
        <f t="shared" si="82"/>
        <v>0.042</v>
      </c>
      <c r="U273" s="154">
        <v>0.001</v>
      </c>
      <c r="V273" s="236">
        <f t="shared" si="79"/>
        <v>0.041</v>
      </c>
      <c r="W273" s="127"/>
      <c r="X273" s="127"/>
      <c r="Y273" s="128"/>
      <c r="Z273" s="168">
        <f>T273+SUM(W273:X273)</f>
        <v>0.042</v>
      </c>
      <c r="AB273" s="88">
        <f aca="true" t="shared" si="83" ref="AB273:AB326">F273-Z273</f>
        <v>0</v>
      </c>
      <c r="AD273" s="298"/>
      <c r="AE273" s="298"/>
      <c r="AF273" s="298"/>
      <c r="AG273" s="298">
        <v>0.042</v>
      </c>
      <c r="AH273" s="298"/>
      <c r="AI273" s="298"/>
      <c r="AJ273" s="298">
        <f t="shared" si="80"/>
        <v>0</v>
      </c>
      <c r="AK273" s="298"/>
      <c r="AL273" s="298"/>
      <c r="AM273" s="301"/>
      <c r="AN273" s="301">
        <f t="shared" si="81"/>
        <v>0.042</v>
      </c>
      <c r="AP273" s="301"/>
      <c r="AQ273" s="301"/>
      <c r="AR273" s="301"/>
      <c r="AS273" s="301"/>
      <c r="AT273" s="301"/>
      <c r="AU273" s="301"/>
      <c r="AV273" s="301"/>
      <c r="AW273" s="301"/>
      <c r="AX273" s="301"/>
      <c r="AY273" s="301"/>
      <c r="AZ273" s="301"/>
      <c r="BA273" s="301"/>
      <c r="BB273" s="301"/>
      <c r="BC273" s="301"/>
      <c r="BD273" s="301"/>
    </row>
    <row r="274" spans="3:56" ht="12.75">
      <c r="C274" s="148" t="s">
        <v>211</v>
      </c>
      <c r="D274" s="252"/>
      <c r="E274" s="149"/>
      <c r="F274" s="150"/>
      <c r="G274" s="150"/>
      <c r="H274" s="123"/>
      <c r="I274" s="151"/>
      <c r="J274" s="152"/>
      <c r="K274" s="153"/>
      <c r="L274" s="200"/>
      <c r="M274" s="153"/>
      <c r="N274" s="153"/>
      <c r="O274" s="153"/>
      <c r="P274" s="153"/>
      <c r="Q274" s="127"/>
      <c r="R274" s="127"/>
      <c r="S274" s="127"/>
      <c r="T274" s="171">
        <f t="shared" si="82"/>
        <v>0</v>
      </c>
      <c r="U274" s="154"/>
      <c r="V274" s="236">
        <f t="shared" si="79"/>
        <v>0</v>
      </c>
      <c r="W274" s="127"/>
      <c r="X274" s="127"/>
      <c r="Y274" s="128"/>
      <c r="Z274" s="168"/>
      <c r="AB274" s="88">
        <f t="shared" si="83"/>
        <v>0</v>
      </c>
      <c r="AD274" s="298"/>
      <c r="AE274" s="298"/>
      <c r="AF274" s="298"/>
      <c r="AG274" s="298"/>
      <c r="AH274" s="298"/>
      <c r="AI274" s="298"/>
      <c r="AJ274" s="298">
        <f t="shared" si="80"/>
        <v>0</v>
      </c>
      <c r="AK274" s="298"/>
      <c r="AL274" s="298"/>
      <c r="AM274" s="301"/>
      <c r="AN274" s="301">
        <f t="shared" si="81"/>
        <v>0</v>
      </c>
      <c r="AP274" s="301"/>
      <c r="AQ274" s="301"/>
      <c r="AR274" s="301"/>
      <c r="AS274" s="301"/>
      <c r="AT274" s="301"/>
      <c r="AU274" s="301"/>
      <c r="AV274" s="301"/>
      <c r="AW274" s="301"/>
      <c r="AX274" s="301"/>
      <c r="AY274" s="301"/>
      <c r="AZ274" s="301"/>
      <c r="BA274" s="301"/>
      <c r="BB274" s="301"/>
      <c r="BC274" s="301"/>
      <c r="BD274" s="301"/>
    </row>
    <row r="275" spans="3:56" ht="12.75">
      <c r="C275" s="155" t="s">
        <v>233</v>
      </c>
      <c r="D275" s="203"/>
      <c r="E275" s="149"/>
      <c r="F275" s="150">
        <f>0.322-0.018</f>
        <v>0.304</v>
      </c>
      <c r="G275" s="150"/>
      <c r="H275" s="123"/>
      <c r="I275" s="151"/>
      <c r="J275" s="152">
        <v>0.079</v>
      </c>
      <c r="K275" s="153">
        <v>0.105</v>
      </c>
      <c r="L275" s="200">
        <v>0.11</v>
      </c>
      <c r="M275" s="153"/>
      <c r="N275" s="153"/>
      <c r="O275" s="153">
        <v>0.01</v>
      </c>
      <c r="P275" s="153"/>
      <c r="Q275" s="127"/>
      <c r="R275" s="127"/>
      <c r="S275" s="127"/>
      <c r="T275" s="171">
        <f t="shared" si="82"/>
        <v>0.304</v>
      </c>
      <c r="U275" s="154">
        <v>0.318</v>
      </c>
      <c r="V275" s="236">
        <f t="shared" si="79"/>
        <v>-0.014000000000000012</v>
      </c>
      <c r="W275" s="127"/>
      <c r="X275" s="127"/>
      <c r="Y275" s="128"/>
      <c r="Z275" s="168">
        <f aca="true" t="shared" si="84" ref="Z275:Z281">T275+SUM(W275:X275)</f>
        <v>0.304</v>
      </c>
      <c r="AB275" s="88">
        <f t="shared" si="83"/>
        <v>0</v>
      </c>
      <c r="AD275" s="298"/>
      <c r="AE275" s="298"/>
      <c r="AF275" s="298"/>
      <c r="AG275" s="298"/>
      <c r="AH275" s="298"/>
      <c r="AI275" s="298"/>
      <c r="AJ275" s="298">
        <f t="shared" si="80"/>
        <v>0.304</v>
      </c>
      <c r="AK275" s="298"/>
      <c r="AL275" s="298"/>
      <c r="AM275" s="301"/>
      <c r="AN275" s="301">
        <f t="shared" si="81"/>
        <v>0.304</v>
      </c>
      <c r="AP275" s="301"/>
      <c r="AQ275" s="301"/>
      <c r="AR275" s="301"/>
      <c r="AS275" s="301"/>
      <c r="AT275" s="301"/>
      <c r="AU275" s="301"/>
      <c r="AV275" s="301"/>
      <c r="AW275" s="301"/>
      <c r="AX275" s="301"/>
      <c r="AY275" s="301"/>
      <c r="AZ275" s="301">
        <v>0.304</v>
      </c>
      <c r="BA275" s="301"/>
      <c r="BB275" s="301"/>
      <c r="BC275" s="301"/>
      <c r="BD275" s="301"/>
    </row>
    <row r="276" spans="3:56" ht="12.75">
      <c r="C276" s="155" t="s">
        <v>234</v>
      </c>
      <c r="D276" s="203"/>
      <c r="E276" s="149"/>
      <c r="F276" s="150">
        <f>0.462-0.025</f>
        <v>0.437</v>
      </c>
      <c r="G276" s="150"/>
      <c r="H276" s="123"/>
      <c r="I276" s="151"/>
      <c r="J276" s="152">
        <v>0.082</v>
      </c>
      <c r="K276" s="153">
        <v>0.083</v>
      </c>
      <c r="L276" s="200">
        <v>0.083</v>
      </c>
      <c r="M276" s="153">
        <v>0.083</v>
      </c>
      <c r="N276" s="153">
        <v>0.081</v>
      </c>
      <c r="O276" s="153"/>
      <c r="P276" s="153"/>
      <c r="Q276" s="127"/>
      <c r="R276" s="127">
        <v>0.025</v>
      </c>
      <c r="S276" s="127"/>
      <c r="T276" s="171">
        <f t="shared" si="82"/>
        <v>0.43700000000000006</v>
      </c>
      <c r="U276" s="154">
        <v>0.433</v>
      </c>
      <c r="V276" s="236">
        <f t="shared" si="79"/>
        <v>0.004000000000000059</v>
      </c>
      <c r="W276" s="127"/>
      <c r="X276" s="127"/>
      <c r="Y276" s="128"/>
      <c r="Z276" s="168">
        <f t="shared" si="84"/>
        <v>0.43700000000000006</v>
      </c>
      <c r="AB276" s="88">
        <f t="shared" si="83"/>
        <v>0</v>
      </c>
      <c r="AD276" s="298"/>
      <c r="AE276" s="298"/>
      <c r="AF276" s="298"/>
      <c r="AG276" s="298"/>
      <c r="AH276" s="298"/>
      <c r="AI276" s="298"/>
      <c r="AJ276" s="298">
        <f t="shared" si="80"/>
        <v>0.437</v>
      </c>
      <c r="AK276" s="298"/>
      <c r="AL276" s="298"/>
      <c r="AM276" s="301"/>
      <c r="AN276" s="301">
        <f t="shared" si="81"/>
        <v>0.437</v>
      </c>
      <c r="AP276" s="301"/>
      <c r="AQ276" s="301"/>
      <c r="AR276" s="301"/>
      <c r="AS276" s="301"/>
      <c r="AT276" s="301"/>
      <c r="AU276" s="301"/>
      <c r="AV276" s="301"/>
      <c r="AW276" s="301"/>
      <c r="AX276" s="301"/>
      <c r="AY276" s="301"/>
      <c r="AZ276" s="301">
        <v>0.437</v>
      </c>
      <c r="BA276" s="301"/>
      <c r="BB276" s="301"/>
      <c r="BC276" s="301"/>
      <c r="BD276" s="301"/>
    </row>
    <row r="277" spans="3:56" ht="12.75">
      <c r="C277" s="155" t="s">
        <v>235</v>
      </c>
      <c r="D277" s="203"/>
      <c r="E277" s="149"/>
      <c r="F277" s="150">
        <f>0.464-0.026</f>
        <v>0.438</v>
      </c>
      <c r="G277" s="150"/>
      <c r="H277" s="123"/>
      <c r="I277" s="151"/>
      <c r="J277" s="152">
        <v>0.064</v>
      </c>
      <c r="K277" s="153">
        <v>0.117</v>
      </c>
      <c r="L277" s="200">
        <v>0.117</v>
      </c>
      <c r="M277" s="153">
        <v>0.118</v>
      </c>
      <c r="N277" s="153"/>
      <c r="O277" s="153"/>
      <c r="P277" s="153">
        <v>0.022</v>
      </c>
      <c r="Q277" s="127"/>
      <c r="R277" s="127"/>
      <c r="S277" s="127"/>
      <c r="T277" s="171">
        <f t="shared" si="82"/>
        <v>0.438</v>
      </c>
      <c r="U277" s="154">
        <v>0.399</v>
      </c>
      <c r="V277" s="236">
        <f t="shared" si="79"/>
        <v>0.03899999999999998</v>
      </c>
      <c r="W277" s="127"/>
      <c r="X277" s="127"/>
      <c r="Y277" s="128"/>
      <c r="Z277" s="168">
        <f t="shared" si="84"/>
        <v>0.438</v>
      </c>
      <c r="AB277" s="88">
        <f t="shared" si="83"/>
        <v>0</v>
      </c>
      <c r="AD277" s="298"/>
      <c r="AE277" s="298"/>
      <c r="AF277" s="298"/>
      <c r="AG277" s="298"/>
      <c r="AH277" s="298"/>
      <c r="AI277" s="298"/>
      <c r="AJ277" s="298">
        <f t="shared" si="80"/>
        <v>0.438</v>
      </c>
      <c r="AK277" s="298"/>
      <c r="AL277" s="298"/>
      <c r="AM277" s="301"/>
      <c r="AN277" s="301">
        <f t="shared" si="81"/>
        <v>0.438</v>
      </c>
      <c r="AP277" s="301"/>
      <c r="AQ277" s="301"/>
      <c r="AR277" s="301"/>
      <c r="AS277" s="301"/>
      <c r="AT277" s="301"/>
      <c r="AU277" s="301"/>
      <c r="AV277" s="301"/>
      <c r="AW277" s="301"/>
      <c r="AX277" s="301"/>
      <c r="AY277" s="301"/>
      <c r="AZ277" s="301">
        <v>0.438</v>
      </c>
      <c r="BA277" s="301"/>
      <c r="BB277" s="301"/>
      <c r="BC277" s="301"/>
      <c r="BD277" s="301"/>
    </row>
    <row r="278" spans="3:56" ht="12.75">
      <c r="C278" s="155" t="s">
        <v>236</v>
      </c>
      <c r="D278" s="203"/>
      <c r="E278" s="149"/>
      <c r="F278" s="150">
        <f>0.462+0.115</f>
        <v>0.5770000000000001</v>
      </c>
      <c r="G278" s="150"/>
      <c r="H278" s="123"/>
      <c r="I278" s="151"/>
      <c r="J278" s="152">
        <v>0.048</v>
      </c>
      <c r="K278" s="153">
        <v>0.1</v>
      </c>
      <c r="L278" s="200">
        <v>0.1</v>
      </c>
      <c r="M278" s="153">
        <v>0.06</v>
      </c>
      <c r="N278" s="153">
        <v>0.06</v>
      </c>
      <c r="O278" s="153">
        <v>0.064</v>
      </c>
      <c r="P278" s="153"/>
      <c r="Q278" s="127"/>
      <c r="R278" s="127">
        <v>0.145</v>
      </c>
      <c r="S278" s="127"/>
      <c r="T278" s="171">
        <f t="shared" si="82"/>
        <v>0.5770000000000001</v>
      </c>
      <c r="U278" s="154">
        <v>0.524</v>
      </c>
      <c r="V278" s="236">
        <f t="shared" si="79"/>
        <v>0.05300000000000005</v>
      </c>
      <c r="W278" s="127"/>
      <c r="X278" s="127"/>
      <c r="Y278" s="128"/>
      <c r="Z278" s="168">
        <f t="shared" si="84"/>
        <v>0.5770000000000001</v>
      </c>
      <c r="AB278" s="88">
        <f t="shared" si="83"/>
        <v>0</v>
      </c>
      <c r="AD278" s="298"/>
      <c r="AE278" s="298"/>
      <c r="AF278" s="298"/>
      <c r="AG278" s="298">
        <v>0.128</v>
      </c>
      <c r="AH278" s="298"/>
      <c r="AI278" s="298"/>
      <c r="AJ278" s="298">
        <f t="shared" si="80"/>
        <v>0.449</v>
      </c>
      <c r="AK278" s="298"/>
      <c r="AL278" s="298"/>
      <c r="AM278" s="301"/>
      <c r="AN278" s="301">
        <f t="shared" si="81"/>
        <v>0.577</v>
      </c>
      <c r="AP278" s="301"/>
      <c r="AQ278" s="301"/>
      <c r="AR278" s="301"/>
      <c r="AS278" s="301"/>
      <c r="AT278" s="301"/>
      <c r="AU278" s="301"/>
      <c r="AV278" s="301"/>
      <c r="AW278" s="301"/>
      <c r="AX278" s="301"/>
      <c r="AY278" s="301"/>
      <c r="AZ278" s="301">
        <v>0.449</v>
      </c>
      <c r="BA278" s="301"/>
      <c r="BB278" s="301"/>
      <c r="BC278" s="301"/>
      <c r="BD278" s="301"/>
    </row>
    <row r="279" spans="3:56" ht="12.75">
      <c r="C279" s="155" t="s">
        <v>212</v>
      </c>
      <c r="D279" s="203"/>
      <c r="E279" s="149"/>
      <c r="F279" s="150">
        <v>0.005</v>
      </c>
      <c r="G279" s="150"/>
      <c r="H279" s="123"/>
      <c r="I279" s="151"/>
      <c r="J279" s="152"/>
      <c r="K279" s="153"/>
      <c r="L279" s="200"/>
      <c r="M279" s="153"/>
      <c r="N279" s="153">
        <v>0.005</v>
      </c>
      <c r="O279" s="153"/>
      <c r="P279" s="153"/>
      <c r="Q279" s="127"/>
      <c r="R279" s="127"/>
      <c r="S279" s="127"/>
      <c r="T279" s="171">
        <f t="shared" si="82"/>
        <v>0.005</v>
      </c>
      <c r="U279" s="154">
        <v>0</v>
      </c>
      <c r="V279" s="236">
        <f t="shared" si="79"/>
        <v>0.005</v>
      </c>
      <c r="W279" s="127"/>
      <c r="X279" s="127"/>
      <c r="Y279" s="128"/>
      <c r="Z279" s="168">
        <f t="shared" si="84"/>
        <v>0.005</v>
      </c>
      <c r="AB279" s="88">
        <f t="shared" si="83"/>
        <v>0</v>
      </c>
      <c r="AD279" s="298"/>
      <c r="AE279" s="298"/>
      <c r="AF279" s="298"/>
      <c r="AG279" s="298">
        <v>0.005</v>
      </c>
      <c r="AH279" s="298"/>
      <c r="AI279" s="298"/>
      <c r="AJ279" s="298">
        <f t="shared" si="80"/>
        <v>0.181</v>
      </c>
      <c r="AK279" s="298"/>
      <c r="AL279" s="298"/>
      <c r="AM279" s="301"/>
      <c r="AN279" s="301">
        <f t="shared" si="81"/>
        <v>0.186</v>
      </c>
      <c r="AP279" s="301"/>
      <c r="AQ279" s="301"/>
      <c r="AR279" s="301"/>
      <c r="AS279" s="301"/>
      <c r="AT279" s="301"/>
      <c r="AU279" s="301"/>
      <c r="AV279" s="301"/>
      <c r="AW279" s="301"/>
      <c r="AX279" s="301"/>
      <c r="AY279" s="301"/>
      <c r="AZ279" s="301">
        <v>0.181</v>
      </c>
      <c r="BA279" s="301"/>
      <c r="BB279" s="301"/>
      <c r="BC279" s="301"/>
      <c r="BD279" s="301"/>
    </row>
    <row r="280" spans="3:56" ht="12.75">
      <c r="C280" s="155" t="s">
        <v>406</v>
      </c>
      <c r="D280" s="203"/>
      <c r="E280" s="149"/>
      <c r="F280" s="150">
        <v>0.073</v>
      </c>
      <c r="G280" s="150"/>
      <c r="H280" s="123"/>
      <c r="I280" s="151"/>
      <c r="J280" s="152"/>
      <c r="K280" s="153"/>
      <c r="L280" s="200"/>
      <c r="M280" s="153"/>
      <c r="N280" s="153"/>
      <c r="O280" s="153">
        <v>0.016</v>
      </c>
      <c r="P280" s="153">
        <v>0.035</v>
      </c>
      <c r="Q280" s="153">
        <v>0.018</v>
      </c>
      <c r="R280" s="127">
        <v>0.004</v>
      </c>
      <c r="S280" s="127"/>
      <c r="T280" s="171">
        <f t="shared" si="82"/>
        <v>0.07300000000000001</v>
      </c>
      <c r="U280" s="154">
        <v>0.064</v>
      </c>
      <c r="V280" s="236">
        <f t="shared" si="79"/>
        <v>0.009000000000000008</v>
      </c>
      <c r="W280" s="127"/>
      <c r="X280" s="127"/>
      <c r="Y280" s="128"/>
      <c r="Z280" s="168">
        <f t="shared" si="84"/>
        <v>0.07300000000000001</v>
      </c>
      <c r="AB280" s="88">
        <f t="shared" si="83"/>
        <v>0</v>
      </c>
      <c r="AD280" s="298"/>
      <c r="AE280" s="298"/>
      <c r="AF280" s="298">
        <v>0.003</v>
      </c>
      <c r="AG280" s="298"/>
      <c r="AH280" s="298"/>
      <c r="AI280" s="298"/>
      <c r="AJ280" s="298">
        <f t="shared" si="80"/>
        <v>0.07</v>
      </c>
      <c r="AK280" s="298"/>
      <c r="AL280" s="298"/>
      <c r="AM280" s="301"/>
      <c r="AN280" s="301">
        <f t="shared" si="81"/>
        <v>0.07300000000000001</v>
      </c>
      <c r="AP280" s="301"/>
      <c r="AQ280" s="301"/>
      <c r="AR280" s="301"/>
      <c r="AS280" s="301"/>
      <c r="AT280" s="301"/>
      <c r="AU280" s="301"/>
      <c r="AV280" s="301"/>
      <c r="AW280" s="301"/>
      <c r="AX280" s="301"/>
      <c r="AY280" s="301"/>
      <c r="AZ280" s="301">
        <v>0.07</v>
      </c>
      <c r="BA280" s="301"/>
      <c r="BB280" s="301"/>
      <c r="BC280" s="301"/>
      <c r="BD280" s="301"/>
    </row>
    <row r="281" spans="3:56" ht="12.75">
      <c r="C281" s="155" t="s">
        <v>504</v>
      </c>
      <c r="D281" s="203"/>
      <c r="E281" s="149"/>
      <c r="F281" s="150">
        <v>0.181</v>
      </c>
      <c r="G281" s="150"/>
      <c r="H281" s="123"/>
      <c r="I281" s="151"/>
      <c r="J281" s="152">
        <v>0.015</v>
      </c>
      <c r="K281" s="153">
        <v>0.015</v>
      </c>
      <c r="L281" s="153">
        <v>0.015</v>
      </c>
      <c r="M281" s="153">
        <v>0.015</v>
      </c>
      <c r="N281" s="153">
        <v>0.015</v>
      </c>
      <c r="O281" s="153">
        <v>0.015</v>
      </c>
      <c r="P281" s="153">
        <v>0.015</v>
      </c>
      <c r="Q281" s="153">
        <v>0.015</v>
      </c>
      <c r="R281" s="153">
        <v>0.015</v>
      </c>
      <c r="S281" s="153">
        <v>0.015</v>
      </c>
      <c r="T281" s="171">
        <f t="shared" si="82"/>
        <v>0.15000000000000002</v>
      </c>
      <c r="U281" s="154">
        <v>0.05</v>
      </c>
      <c r="V281" s="236">
        <f t="shared" si="79"/>
        <v>0.10000000000000002</v>
      </c>
      <c r="W281" s="153">
        <v>0.015</v>
      </c>
      <c r="X281" s="153">
        <v>0.016</v>
      </c>
      <c r="Y281" s="128"/>
      <c r="Z281" s="168">
        <f t="shared" si="84"/>
        <v>0.18100000000000002</v>
      </c>
      <c r="AD281" s="299"/>
      <c r="AE281" s="299"/>
      <c r="AF281" s="299"/>
      <c r="AG281" s="299"/>
      <c r="AH281" s="299"/>
      <c r="AI281" s="299"/>
      <c r="AJ281" s="299">
        <f t="shared" si="80"/>
        <v>0</v>
      </c>
      <c r="AK281" s="299"/>
      <c r="AL281" s="299"/>
      <c r="AM281" s="302"/>
      <c r="AN281" s="302">
        <f t="shared" si="81"/>
        <v>0</v>
      </c>
      <c r="AP281" s="302"/>
      <c r="AQ281" s="302"/>
      <c r="AR281" s="302"/>
      <c r="AS281" s="302"/>
      <c r="AT281" s="302"/>
      <c r="AU281" s="302"/>
      <c r="AV281" s="302"/>
      <c r="AW281" s="302"/>
      <c r="AX281" s="302"/>
      <c r="AY281" s="302"/>
      <c r="AZ281" s="302"/>
      <c r="BA281" s="302"/>
      <c r="BB281" s="302"/>
      <c r="BC281" s="302"/>
      <c r="BD281" s="302"/>
    </row>
    <row r="282" spans="3:28" ht="12.75">
      <c r="C282" s="155"/>
      <c r="D282" s="203"/>
      <c r="E282" s="149"/>
      <c r="F282" s="150"/>
      <c r="G282" s="150"/>
      <c r="H282" s="123"/>
      <c r="I282" s="151"/>
      <c r="J282" s="152"/>
      <c r="K282" s="153"/>
      <c r="L282" s="200"/>
      <c r="M282" s="153"/>
      <c r="N282" s="153"/>
      <c r="O282" s="153"/>
      <c r="P282" s="153"/>
      <c r="Q282" s="127"/>
      <c r="R282" s="127"/>
      <c r="S282" s="127"/>
      <c r="T282" s="152"/>
      <c r="U282" s="153"/>
      <c r="V282" s="231"/>
      <c r="W282" s="127"/>
      <c r="X282" s="127"/>
      <c r="Y282" s="128"/>
      <c r="Z282" s="168"/>
      <c r="AB282" s="88">
        <f t="shared" si="83"/>
        <v>0</v>
      </c>
    </row>
    <row r="283" spans="3:56" ht="12.75">
      <c r="C283" s="163" t="s">
        <v>112</v>
      </c>
      <c r="D283" s="255"/>
      <c r="E283" s="164"/>
      <c r="F283" s="165">
        <f>SUM(F268:F282)</f>
        <v>2.3089999999999997</v>
      </c>
      <c r="G283" s="165"/>
      <c r="H283" s="123"/>
      <c r="I283" s="166"/>
      <c r="J283" s="167">
        <f aca="true" t="shared" si="85" ref="J283:X283">SUM(J268:J282)</f>
        <v>0.372</v>
      </c>
      <c r="K283" s="154">
        <f t="shared" si="85"/>
        <v>0.42800000000000005</v>
      </c>
      <c r="L283" s="154">
        <f t="shared" si="85"/>
        <v>0.43800000000000006</v>
      </c>
      <c r="M283" s="221">
        <f t="shared" si="85"/>
        <v>0.29800000000000004</v>
      </c>
      <c r="N283" s="270">
        <f t="shared" si="85"/>
        <v>0.181</v>
      </c>
      <c r="O283" s="154">
        <f t="shared" si="85"/>
        <v>0.135</v>
      </c>
      <c r="P283" s="154">
        <f t="shared" si="85"/>
        <v>0.08800000000000001</v>
      </c>
      <c r="Q283" s="131">
        <f t="shared" si="85"/>
        <v>0.033</v>
      </c>
      <c r="R283" s="131">
        <f t="shared" si="85"/>
        <v>0.189</v>
      </c>
      <c r="S283" s="131">
        <f t="shared" si="85"/>
        <v>0.015</v>
      </c>
      <c r="T283" s="167">
        <f t="shared" si="85"/>
        <v>2.177</v>
      </c>
      <c r="U283" s="154">
        <f t="shared" si="85"/>
        <v>1.9560000000000002</v>
      </c>
      <c r="V283" s="232">
        <f t="shared" si="85"/>
        <v>0.22100000000000009</v>
      </c>
      <c r="W283" s="131">
        <f t="shared" si="85"/>
        <v>0.015</v>
      </c>
      <c r="X283" s="131">
        <f t="shared" si="85"/>
        <v>0.117</v>
      </c>
      <c r="Y283" s="128"/>
      <c r="Z283" s="168">
        <f>SUM(Z268:Z282)</f>
        <v>2.309</v>
      </c>
      <c r="AB283" s="88">
        <f t="shared" si="83"/>
        <v>0</v>
      </c>
      <c r="AD283" s="170">
        <f>SUM(AD270:AD281)</f>
        <v>0</v>
      </c>
      <c r="AE283" s="170">
        <f aca="true" t="shared" si="86" ref="AE283:BD283">SUM(AE270:AE281)</f>
        <v>0</v>
      </c>
      <c r="AF283" s="170">
        <f t="shared" si="86"/>
        <v>0.033</v>
      </c>
      <c r="AG283" s="170">
        <f>SUM(AG270:AG281)</f>
        <v>0.326</v>
      </c>
      <c r="AH283" s="170">
        <f t="shared" si="86"/>
        <v>0</v>
      </c>
      <c r="AI283" s="170">
        <f t="shared" si="86"/>
        <v>0</v>
      </c>
      <c r="AJ283" s="170">
        <f t="shared" si="86"/>
        <v>1.9500000000000002</v>
      </c>
      <c r="AK283" s="170">
        <f t="shared" si="86"/>
        <v>0</v>
      </c>
      <c r="AL283" s="170">
        <f t="shared" si="86"/>
        <v>0</v>
      </c>
      <c r="AM283" s="170">
        <f t="shared" si="86"/>
        <v>0</v>
      </c>
      <c r="AN283" s="170">
        <f t="shared" si="86"/>
        <v>2.3089999999999997</v>
      </c>
      <c r="AP283" s="170">
        <f t="shared" si="86"/>
        <v>0</v>
      </c>
      <c r="AQ283" s="170">
        <f t="shared" si="86"/>
        <v>0</v>
      </c>
      <c r="AR283" s="170">
        <f t="shared" si="86"/>
        <v>0.071</v>
      </c>
      <c r="AS283" s="170">
        <f t="shared" si="86"/>
        <v>0</v>
      </c>
      <c r="AT283" s="170">
        <f t="shared" si="86"/>
        <v>0</v>
      </c>
      <c r="AU283" s="170">
        <f t="shared" si="86"/>
        <v>0</v>
      </c>
      <c r="AV283" s="170">
        <f t="shared" si="86"/>
        <v>0</v>
      </c>
      <c r="AW283" s="170">
        <f t="shared" si="86"/>
        <v>0</v>
      </c>
      <c r="AX283" s="170">
        <f t="shared" si="86"/>
        <v>0</v>
      </c>
      <c r="AY283" s="170">
        <f t="shared" si="86"/>
        <v>0</v>
      </c>
      <c r="AZ283" s="170">
        <f t="shared" si="86"/>
        <v>1.8790000000000002</v>
      </c>
      <c r="BA283" s="170">
        <f t="shared" si="86"/>
        <v>0</v>
      </c>
      <c r="BB283" s="170">
        <f t="shared" si="86"/>
        <v>0</v>
      </c>
      <c r="BC283" s="170">
        <f t="shared" si="86"/>
        <v>0</v>
      </c>
      <c r="BD283" s="170">
        <f t="shared" si="86"/>
        <v>0</v>
      </c>
    </row>
    <row r="284" spans="3:28" ht="12.75">
      <c r="C284" s="155"/>
      <c r="D284" s="203"/>
      <c r="E284" s="149"/>
      <c r="F284" s="150"/>
      <c r="G284" s="150"/>
      <c r="H284" s="123"/>
      <c r="I284" s="151"/>
      <c r="J284" s="152"/>
      <c r="K284" s="153"/>
      <c r="L284" s="200"/>
      <c r="M284" s="153"/>
      <c r="N284" s="153"/>
      <c r="O284" s="153"/>
      <c r="P284" s="153"/>
      <c r="Q284" s="127"/>
      <c r="R284" s="127"/>
      <c r="S284" s="127"/>
      <c r="T284" s="152"/>
      <c r="U284" s="153"/>
      <c r="V284" s="231"/>
      <c r="W284" s="127"/>
      <c r="X284" s="127"/>
      <c r="Y284" s="128"/>
      <c r="Z284" s="168"/>
      <c r="AB284" s="88">
        <f t="shared" si="83"/>
        <v>0</v>
      </c>
    </row>
    <row r="285" spans="3:28" ht="12.75">
      <c r="C285" s="163" t="s">
        <v>37</v>
      </c>
      <c r="D285" s="255"/>
      <c r="E285" s="149"/>
      <c r="F285" s="150"/>
      <c r="G285" s="150"/>
      <c r="H285" s="123"/>
      <c r="I285" s="151"/>
      <c r="J285" s="152"/>
      <c r="K285" s="153"/>
      <c r="L285" s="200"/>
      <c r="M285" s="153"/>
      <c r="N285" s="153"/>
      <c r="O285" s="153"/>
      <c r="P285" s="153"/>
      <c r="Q285" s="127"/>
      <c r="R285" s="127"/>
      <c r="S285" s="127"/>
      <c r="T285" s="152"/>
      <c r="U285" s="153"/>
      <c r="V285" s="231"/>
      <c r="W285" s="127"/>
      <c r="X285" s="127"/>
      <c r="Y285" s="128"/>
      <c r="Z285" s="168"/>
      <c r="AB285" s="88">
        <f t="shared" si="83"/>
        <v>0</v>
      </c>
    </row>
    <row r="286" spans="3:28" ht="12.75">
      <c r="C286" s="148" t="s">
        <v>208</v>
      </c>
      <c r="D286" s="252"/>
      <c r="E286" s="149"/>
      <c r="F286" s="150"/>
      <c r="G286" s="150"/>
      <c r="H286" s="123"/>
      <c r="I286" s="151"/>
      <c r="J286" s="152"/>
      <c r="K286" s="153"/>
      <c r="L286" s="200"/>
      <c r="M286" s="153"/>
      <c r="N286" s="153"/>
      <c r="O286" s="153"/>
      <c r="P286" s="153"/>
      <c r="Q286" s="127"/>
      <c r="R286" s="127"/>
      <c r="S286" s="127"/>
      <c r="T286" s="152"/>
      <c r="U286" s="153"/>
      <c r="V286" s="231"/>
      <c r="W286" s="127"/>
      <c r="X286" s="127"/>
      <c r="Y286" s="128"/>
      <c r="Z286" s="168"/>
      <c r="AB286" s="88">
        <f t="shared" si="83"/>
        <v>0</v>
      </c>
    </row>
    <row r="287" spans="3:56" ht="12.75">
      <c r="C287" s="155" t="s">
        <v>248</v>
      </c>
      <c r="D287" s="203"/>
      <c r="E287" s="149"/>
      <c r="F287" s="150">
        <v>0.868</v>
      </c>
      <c r="G287" s="151"/>
      <c r="H287" s="247"/>
      <c r="I287" s="151"/>
      <c r="J287" s="152">
        <v>0.868</v>
      </c>
      <c r="K287" s="200"/>
      <c r="L287" s="200"/>
      <c r="M287" s="153"/>
      <c r="N287" s="153"/>
      <c r="O287" s="153"/>
      <c r="P287" s="153"/>
      <c r="Q287" s="127"/>
      <c r="R287" s="127"/>
      <c r="S287" s="127"/>
      <c r="T287" s="171">
        <f>SUM(J287:S287)</f>
        <v>0.868</v>
      </c>
      <c r="U287" s="154">
        <v>0.225</v>
      </c>
      <c r="V287" s="236">
        <f aca="true" t="shared" si="87" ref="V287:V300">T287-U287</f>
        <v>0.643</v>
      </c>
      <c r="W287" s="127"/>
      <c r="X287" s="127"/>
      <c r="Y287" s="128"/>
      <c r="Z287" s="168">
        <f aca="true" t="shared" si="88" ref="Z287:Z296">T287+SUM(W287:X287)</f>
        <v>0.868</v>
      </c>
      <c r="AB287" s="88">
        <f t="shared" si="83"/>
        <v>0</v>
      </c>
      <c r="AD287" s="297"/>
      <c r="AE287" s="297"/>
      <c r="AF287" s="297"/>
      <c r="AG287" s="297">
        <v>0.868</v>
      </c>
      <c r="AH287" s="297"/>
      <c r="AI287" s="297"/>
      <c r="AJ287" s="297">
        <f aca="true" t="shared" si="89" ref="AJ287:AJ300">SUM(AP287:BD287)</f>
        <v>0</v>
      </c>
      <c r="AK287" s="297"/>
      <c r="AL287" s="297"/>
      <c r="AM287" s="300"/>
      <c r="AN287" s="300">
        <f aca="true" t="shared" si="90" ref="AN287:AN300">SUM(AD287:AM287)</f>
        <v>0.868</v>
      </c>
      <c r="AP287" s="300"/>
      <c r="AQ287" s="300"/>
      <c r="AR287" s="300"/>
      <c r="AS287" s="300"/>
      <c r="AT287" s="300"/>
      <c r="AU287" s="300"/>
      <c r="AV287" s="300"/>
      <c r="AW287" s="300"/>
      <c r="AX287" s="300"/>
      <c r="AY287" s="300"/>
      <c r="AZ287" s="300"/>
      <c r="BA287" s="300"/>
      <c r="BB287" s="300"/>
      <c r="BC287" s="300"/>
      <c r="BD287" s="300"/>
    </row>
    <row r="288" spans="3:56" ht="12.75">
      <c r="C288" s="155" t="s">
        <v>249</v>
      </c>
      <c r="D288" s="203"/>
      <c r="E288" s="149"/>
      <c r="F288" s="150">
        <v>0.057</v>
      </c>
      <c r="G288" s="151"/>
      <c r="H288" s="247"/>
      <c r="I288" s="151"/>
      <c r="J288" s="152">
        <v>0.057</v>
      </c>
      <c r="K288" s="200"/>
      <c r="L288" s="200"/>
      <c r="M288" s="153"/>
      <c r="N288" s="153"/>
      <c r="O288" s="153"/>
      <c r="P288" s="153"/>
      <c r="Q288" s="127"/>
      <c r="R288" s="127"/>
      <c r="S288" s="127"/>
      <c r="T288" s="171">
        <f aca="true" t="shared" si="91" ref="T288:T300">SUM(J288:S288)</f>
        <v>0.057</v>
      </c>
      <c r="U288" s="154">
        <v>0.042</v>
      </c>
      <c r="V288" s="236">
        <f t="shared" si="87"/>
        <v>0.015</v>
      </c>
      <c r="W288" s="127"/>
      <c r="X288" s="127"/>
      <c r="Y288" s="128"/>
      <c r="Z288" s="168">
        <f t="shared" si="88"/>
        <v>0.057</v>
      </c>
      <c r="AB288" s="88">
        <f t="shared" si="83"/>
        <v>0</v>
      </c>
      <c r="AD288" s="298"/>
      <c r="AE288" s="298"/>
      <c r="AF288" s="298"/>
      <c r="AG288" s="298">
        <v>0.04</v>
      </c>
      <c r="AH288" s="298"/>
      <c r="AI288" s="298"/>
      <c r="AJ288" s="298">
        <f t="shared" si="89"/>
        <v>0.017</v>
      </c>
      <c r="AK288" s="298"/>
      <c r="AL288" s="298"/>
      <c r="AM288" s="301"/>
      <c r="AN288" s="301">
        <f t="shared" si="90"/>
        <v>0.057</v>
      </c>
      <c r="AP288" s="301"/>
      <c r="AQ288" s="301"/>
      <c r="AR288" s="301"/>
      <c r="AS288" s="301"/>
      <c r="AT288" s="301"/>
      <c r="AU288" s="301"/>
      <c r="AV288" s="301"/>
      <c r="AW288" s="301"/>
      <c r="AX288" s="301"/>
      <c r="AY288" s="301"/>
      <c r="AZ288" s="301"/>
      <c r="BA288" s="301">
        <v>0.017</v>
      </c>
      <c r="BB288" s="301"/>
      <c r="BC288" s="301"/>
      <c r="BD288" s="301"/>
    </row>
    <row r="289" spans="3:56" ht="12.75">
      <c r="C289" s="155" t="s">
        <v>250</v>
      </c>
      <c r="D289" s="203"/>
      <c r="E289" s="149"/>
      <c r="F289" s="150">
        <v>0.01</v>
      </c>
      <c r="G289" s="151"/>
      <c r="H289" s="247"/>
      <c r="I289" s="151"/>
      <c r="J289" s="152">
        <v>0.01</v>
      </c>
      <c r="K289" s="200"/>
      <c r="L289" s="200"/>
      <c r="M289" s="153"/>
      <c r="N289" s="153"/>
      <c r="O289" s="153"/>
      <c r="P289" s="153"/>
      <c r="Q289" s="127"/>
      <c r="R289" s="127"/>
      <c r="S289" s="127"/>
      <c r="T289" s="171">
        <f t="shared" si="91"/>
        <v>0.01</v>
      </c>
      <c r="U289" s="154">
        <v>0</v>
      </c>
      <c r="V289" s="236">
        <f t="shared" si="87"/>
        <v>0.01</v>
      </c>
      <c r="W289" s="127"/>
      <c r="X289" s="127"/>
      <c r="Y289" s="128"/>
      <c r="Z289" s="168">
        <f t="shared" si="88"/>
        <v>0.01</v>
      </c>
      <c r="AB289" s="88">
        <f t="shared" si="83"/>
        <v>0</v>
      </c>
      <c r="AD289" s="298"/>
      <c r="AE289" s="298"/>
      <c r="AF289" s="298"/>
      <c r="AG289" s="298">
        <v>0.01</v>
      </c>
      <c r="AH289" s="298"/>
      <c r="AI289" s="298"/>
      <c r="AJ289" s="298">
        <f t="shared" si="89"/>
        <v>0</v>
      </c>
      <c r="AK289" s="298"/>
      <c r="AL289" s="298"/>
      <c r="AM289" s="301"/>
      <c r="AN289" s="301">
        <f t="shared" si="90"/>
        <v>0.01</v>
      </c>
      <c r="AP289" s="301"/>
      <c r="AQ289" s="301"/>
      <c r="AR289" s="301"/>
      <c r="AS289" s="301"/>
      <c r="AT289" s="301"/>
      <c r="AU289" s="301"/>
      <c r="AV289" s="301"/>
      <c r="AW289" s="301"/>
      <c r="AX289" s="301"/>
      <c r="AY289" s="301"/>
      <c r="AZ289" s="301"/>
      <c r="BA289" s="301"/>
      <c r="BB289" s="301"/>
      <c r="BC289" s="301"/>
      <c r="BD289" s="301"/>
    </row>
    <row r="290" spans="3:56" ht="12.75">
      <c r="C290" s="155" t="s">
        <v>251</v>
      </c>
      <c r="D290" s="203"/>
      <c r="E290" s="149"/>
      <c r="F290" s="150">
        <v>0.004</v>
      </c>
      <c r="G290" s="151"/>
      <c r="H290" s="247"/>
      <c r="I290" s="151"/>
      <c r="J290" s="152">
        <v>0.004</v>
      </c>
      <c r="K290" s="200"/>
      <c r="L290" s="200"/>
      <c r="M290" s="153"/>
      <c r="N290" s="153"/>
      <c r="O290" s="153"/>
      <c r="P290" s="153"/>
      <c r="Q290" s="127"/>
      <c r="R290" s="127"/>
      <c r="S290" s="127"/>
      <c r="T290" s="171">
        <f t="shared" si="91"/>
        <v>0.004</v>
      </c>
      <c r="U290" s="154">
        <v>0.005</v>
      </c>
      <c r="V290" s="236">
        <f t="shared" si="87"/>
        <v>-0.001</v>
      </c>
      <c r="W290" s="127"/>
      <c r="X290" s="127"/>
      <c r="Y290" s="128"/>
      <c r="Z290" s="168">
        <f t="shared" si="88"/>
        <v>0.004</v>
      </c>
      <c r="AB290" s="88">
        <f t="shared" si="83"/>
        <v>0</v>
      </c>
      <c r="AD290" s="298"/>
      <c r="AE290" s="298"/>
      <c r="AF290" s="298"/>
      <c r="AG290" s="298">
        <v>0.004</v>
      </c>
      <c r="AH290" s="298"/>
      <c r="AI290" s="298"/>
      <c r="AJ290" s="298">
        <f t="shared" si="89"/>
        <v>0</v>
      </c>
      <c r="AK290" s="298"/>
      <c r="AL290" s="298"/>
      <c r="AM290" s="301"/>
      <c r="AN290" s="301">
        <f t="shared" si="90"/>
        <v>0.004</v>
      </c>
      <c r="AP290" s="301"/>
      <c r="AQ290" s="301"/>
      <c r="AR290" s="301"/>
      <c r="AS290" s="301"/>
      <c r="AT290" s="301"/>
      <c r="AU290" s="301"/>
      <c r="AV290" s="301"/>
      <c r="AW290" s="301"/>
      <c r="AX290" s="301"/>
      <c r="AY290" s="301"/>
      <c r="AZ290" s="301"/>
      <c r="BA290" s="301"/>
      <c r="BB290" s="301"/>
      <c r="BC290" s="301"/>
      <c r="BD290" s="301"/>
    </row>
    <row r="291" spans="3:56" ht="12.75">
      <c r="C291" s="155" t="s">
        <v>252</v>
      </c>
      <c r="D291" s="203"/>
      <c r="E291" s="149"/>
      <c r="F291" s="150">
        <v>0.024</v>
      </c>
      <c r="G291" s="151"/>
      <c r="H291" s="247"/>
      <c r="I291" s="151"/>
      <c r="J291" s="152">
        <v>0.024</v>
      </c>
      <c r="K291" s="200"/>
      <c r="L291" s="200"/>
      <c r="M291" s="153"/>
      <c r="N291" s="153"/>
      <c r="O291" s="153"/>
      <c r="P291" s="153"/>
      <c r="Q291" s="127"/>
      <c r="R291" s="127"/>
      <c r="S291" s="127"/>
      <c r="T291" s="171">
        <f t="shared" si="91"/>
        <v>0.024</v>
      </c>
      <c r="U291" s="154">
        <v>0</v>
      </c>
      <c r="V291" s="236">
        <f t="shared" si="87"/>
        <v>0.024</v>
      </c>
      <c r="W291" s="127"/>
      <c r="X291" s="127"/>
      <c r="Y291" s="128"/>
      <c r="Z291" s="168">
        <f t="shared" si="88"/>
        <v>0.024</v>
      </c>
      <c r="AB291" s="88">
        <f t="shared" si="83"/>
        <v>0</v>
      </c>
      <c r="AD291" s="298"/>
      <c r="AE291" s="298"/>
      <c r="AF291" s="298"/>
      <c r="AG291" s="298">
        <v>0.024</v>
      </c>
      <c r="AH291" s="298"/>
      <c r="AI291" s="298"/>
      <c r="AJ291" s="298">
        <f t="shared" si="89"/>
        <v>0</v>
      </c>
      <c r="AK291" s="298"/>
      <c r="AL291" s="298"/>
      <c r="AM291" s="301"/>
      <c r="AN291" s="301">
        <f t="shared" si="90"/>
        <v>0.024</v>
      </c>
      <c r="AP291" s="301"/>
      <c r="AQ291" s="301"/>
      <c r="AR291" s="301"/>
      <c r="AS291" s="301"/>
      <c r="AT291" s="301"/>
      <c r="AU291" s="301"/>
      <c r="AV291" s="301"/>
      <c r="AW291" s="301"/>
      <c r="AX291" s="301"/>
      <c r="AY291" s="301"/>
      <c r="AZ291" s="301"/>
      <c r="BA291" s="301"/>
      <c r="BB291" s="301"/>
      <c r="BC291" s="301"/>
      <c r="BD291" s="301"/>
    </row>
    <row r="292" spans="3:56" ht="12.75">
      <c r="C292" s="155" t="s">
        <v>253</v>
      </c>
      <c r="D292" s="203"/>
      <c r="E292" s="149"/>
      <c r="F292" s="150">
        <v>0.161</v>
      </c>
      <c r="G292" s="151"/>
      <c r="H292" s="247"/>
      <c r="I292" s="151"/>
      <c r="J292" s="152">
        <v>0.161</v>
      </c>
      <c r="K292" s="200"/>
      <c r="L292" s="200"/>
      <c r="M292" s="153"/>
      <c r="N292" s="153"/>
      <c r="O292" s="153"/>
      <c r="P292" s="153"/>
      <c r="Q292" s="127"/>
      <c r="R292" s="127"/>
      <c r="S292" s="127"/>
      <c r="T292" s="171">
        <f t="shared" si="91"/>
        <v>0.161</v>
      </c>
      <c r="U292" s="154">
        <v>0.193</v>
      </c>
      <c r="V292" s="236">
        <f t="shared" si="87"/>
        <v>-0.032</v>
      </c>
      <c r="W292" s="127"/>
      <c r="X292" s="127"/>
      <c r="Y292" s="128"/>
      <c r="Z292" s="168">
        <f t="shared" si="88"/>
        <v>0.161</v>
      </c>
      <c r="AB292" s="88">
        <f t="shared" si="83"/>
        <v>0</v>
      </c>
      <c r="AD292" s="298"/>
      <c r="AE292" s="298"/>
      <c r="AF292" s="298"/>
      <c r="AG292" s="298"/>
      <c r="AH292" s="298"/>
      <c r="AI292" s="298"/>
      <c r="AJ292" s="298">
        <f t="shared" si="89"/>
        <v>0.161</v>
      </c>
      <c r="AK292" s="298"/>
      <c r="AL292" s="298"/>
      <c r="AM292" s="301"/>
      <c r="AN292" s="301">
        <f t="shared" si="90"/>
        <v>0.161</v>
      </c>
      <c r="AP292" s="301"/>
      <c r="AQ292" s="301"/>
      <c r="AR292" s="301"/>
      <c r="AS292" s="301"/>
      <c r="AT292" s="301"/>
      <c r="AU292" s="301"/>
      <c r="AV292" s="301"/>
      <c r="AW292" s="301"/>
      <c r="AX292" s="301"/>
      <c r="AY292" s="301"/>
      <c r="AZ292" s="301"/>
      <c r="BA292" s="301">
        <v>0.161</v>
      </c>
      <c r="BB292" s="301"/>
      <c r="BC292" s="301"/>
      <c r="BD292" s="301"/>
    </row>
    <row r="293" spans="3:57" ht="12.75">
      <c r="C293" s="155" t="s">
        <v>491</v>
      </c>
      <c r="D293" s="203"/>
      <c r="E293" s="149"/>
      <c r="F293" s="150">
        <v>0.057</v>
      </c>
      <c r="G293" s="151"/>
      <c r="H293" s="264">
        <v>38018</v>
      </c>
      <c r="I293" s="263">
        <v>38108</v>
      </c>
      <c r="J293" s="152"/>
      <c r="K293" s="200"/>
      <c r="L293" s="200"/>
      <c r="M293" s="153"/>
      <c r="N293" s="153"/>
      <c r="O293" s="153"/>
      <c r="P293" s="153"/>
      <c r="Q293" s="127"/>
      <c r="R293" s="127"/>
      <c r="S293" s="127"/>
      <c r="T293" s="171">
        <f t="shared" si="91"/>
        <v>0</v>
      </c>
      <c r="U293" s="154">
        <v>0</v>
      </c>
      <c r="V293" s="236">
        <f t="shared" si="87"/>
        <v>0</v>
      </c>
      <c r="W293" s="127">
        <v>0.028</v>
      </c>
      <c r="X293" s="127">
        <v>0.029</v>
      </c>
      <c r="Y293" s="128"/>
      <c r="Z293" s="168">
        <f t="shared" si="88"/>
        <v>0.057</v>
      </c>
      <c r="AB293" s="88">
        <f t="shared" si="83"/>
        <v>0</v>
      </c>
      <c r="AD293" s="298"/>
      <c r="AE293" s="298"/>
      <c r="AF293" s="298">
        <v>0.037</v>
      </c>
      <c r="AG293" s="298"/>
      <c r="AH293" s="298"/>
      <c r="AI293" s="298"/>
      <c r="AJ293" s="298">
        <f t="shared" si="89"/>
        <v>0.02</v>
      </c>
      <c r="AK293" s="298"/>
      <c r="AL293" s="298"/>
      <c r="AM293" s="301"/>
      <c r="AN293" s="301">
        <f t="shared" si="90"/>
        <v>0.056999999999999995</v>
      </c>
      <c r="AP293" s="301"/>
      <c r="AQ293" s="301"/>
      <c r="AR293" s="301"/>
      <c r="AS293" s="301"/>
      <c r="AT293" s="301"/>
      <c r="AU293" s="301"/>
      <c r="AV293" s="301"/>
      <c r="AW293" s="301"/>
      <c r="AX293" s="301"/>
      <c r="AY293" s="301"/>
      <c r="AZ293" s="301"/>
      <c r="BA293" s="301"/>
      <c r="BB293" s="301"/>
      <c r="BC293" s="301"/>
      <c r="BD293" s="301">
        <v>0.02</v>
      </c>
      <c r="BE293" s="98" t="s">
        <v>568</v>
      </c>
    </row>
    <row r="294" spans="3:56" ht="12.75">
      <c r="C294" s="155" t="s">
        <v>254</v>
      </c>
      <c r="D294" s="203"/>
      <c r="E294" s="149"/>
      <c r="F294" s="150">
        <v>0.008</v>
      </c>
      <c r="G294" s="151"/>
      <c r="H294" s="247"/>
      <c r="I294" s="151"/>
      <c r="J294" s="152">
        <v>0.008</v>
      </c>
      <c r="K294" s="200"/>
      <c r="L294" s="200"/>
      <c r="M294" s="153"/>
      <c r="N294" s="153"/>
      <c r="O294" s="153"/>
      <c r="P294" s="153"/>
      <c r="Q294" s="127"/>
      <c r="R294" s="127"/>
      <c r="S294" s="127"/>
      <c r="T294" s="171">
        <f t="shared" si="91"/>
        <v>0.008</v>
      </c>
      <c r="U294" s="154">
        <v>0.004</v>
      </c>
      <c r="V294" s="236">
        <f t="shared" si="87"/>
        <v>0.004</v>
      </c>
      <c r="W294" s="127"/>
      <c r="X294" s="127"/>
      <c r="Y294" s="128"/>
      <c r="Z294" s="168">
        <f t="shared" si="88"/>
        <v>0.008</v>
      </c>
      <c r="AB294" s="88">
        <f t="shared" si="83"/>
        <v>0</v>
      </c>
      <c r="AD294" s="298"/>
      <c r="AE294" s="298"/>
      <c r="AF294" s="298"/>
      <c r="AG294" s="298">
        <v>0.008</v>
      </c>
      <c r="AH294" s="298"/>
      <c r="AI294" s="298"/>
      <c r="AJ294" s="298">
        <f t="shared" si="89"/>
        <v>0</v>
      </c>
      <c r="AK294" s="298"/>
      <c r="AL294" s="298"/>
      <c r="AM294" s="301"/>
      <c r="AN294" s="301">
        <f t="shared" si="90"/>
        <v>0.008</v>
      </c>
      <c r="AP294" s="301"/>
      <c r="AQ294" s="301"/>
      <c r="AR294" s="301"/>
      <c r="AS294" s="301"/>
      <c r="AT294" s="301"/>
      <c r="AU294" s="301"/>
      <c r="AV294" s="301"/>
      <c r="AW294" s="301"/>
      <c r="AX294" s="301"/>
      <c r="AY294" s="301"/>
      <c r="AZ294" s="301"/>
      <c r="BA294" s="301"/>
      <c r="BB294" s="301"/>
      <c r="BC294" s="301"/>
      <c r="BD294" s="301"/>
    </row>
    <row r="295" spans="3:57" ht="12.75">
      <c r="C295" s="155" t="s">
        <v>271</v>
      </c>
      <c r="D295" s="203"/>
      <c r="E295" s="149"/>
      <c r="F295" s="150">
        <v>0.063</v>
      </c>
      <c r="G295" s="151"/>
      <c r="H295" s="247"/>
      <c r="I295" s="151"/>
      <c r="J295" s="152"/>
      <c r="K295" s="200"/>
      <c r="L295" s="200"/>
      <c r="M295" s="153">
        <v>0.007</v>
      </c>
      <c r="N295" s="153">
        <v>0.024</v>
      </c>
      <c r="O295" s="153">
        <v>0.019</v>
      </c>
      <c r="P295" s="153">
        <v>0.013</v>
      </c>
      <c r="Q295" s="127"/>
      <c r="R295" s="127"/>
      <c r="S295" s="127"/>
      <c r="T295" s="171">
        <f t="shared" si="91"/>
        <v>0.063</v>
      </c>
      <c r="U295" s="154">
        <v>0.011</v>
      </c>
      <c r="V295" s="236">
        <f t="shared" si="87"/>
        <v>0.052000000000000005</v>
      </c>
      <c r="W295" s="127"/>
      <c r="X295" s="127"/>
      <c r="Y295" s="128"/>
      <c r="Z295" s="168">
        <f t="shared" si="88"/>
        <v>0.063</v>
      </c>
      <c r="AB295" s="88">
        <f t="shared" si="83"/>
        <v>0</v>
      </c>
      <c r="AD295" s="298"/>
      <c r="AE295" s="298"/>
      <c r="AF295" s="298"/>
      <c r="AG295" s="298"/>
      <c r="AH295" s="298"/>
      <c r="AI295" s="298"/>
      <c r="AJ295" s="298">
        <f t="shared" si="89"/>
        <v>0.052</v>
      </c>
      <c r="AK295" s="298"/>
      <c r="AL295" s="298"/>
      <c r="AM295" s="301">
        <f>0.003+0.008</f>
        <v>0.011</v>
      </c>
      <c r="AN295" s="301">
        <f>SUM(AD295:AM295)</f>
        <v>0.063</v>
      </c>
      <c r="AP295" s="301"/>
      <c r="AQ295" s="301"/>
      <c r="AR295" s="301"/>
      <c r="AS295" s="301"/>
      <c r="AT295" s="301"/>
      <c r="AU295" s="301"/>
      <c r="AV295" s="301"/>
      <c r="AW295" s="301"/>
      <c r="AX295" s="301"/>
      <c r="AY295" s="301"/>
      <c r="AZ295" s="301"/>
      <c r="BA295" s="301">
        <v>0.052</v>
      </c>
      <c r="BB295" s="301"/>
      <c r="BC295" s="301"/>
      <c r="BD295" s="301"/>
      <c r="BE295" s="98" t="s">
        <v>545</v>
      </c>
    </row>
    <row r="296" spans="3:56" ht="12.75">
      <c r="C296" s="155" t="s">
        <v>411</v>
      </c>
      <c r="D296" s="203"/>
      <c r="E296" s="149"/>
      <c r="F296" s="150">
        <v>1.3</v>
      </c>
      <c r="G296" s="151"/>
      <c r="H296" s="247"/>
      <c r="I296" s="151"/>
      <c r="J296" s="152"/>
      <c r="K296" s="200"/>
      <c r="L296" s="200"/>
      <c r="M296" s="153"/>
      <c r="N296" s="153">
        <v>0.334</v>
      </c>
      <c r="O296" s="153"/>
      <c r="P296" s="153">
        <v>0.5</v>
      </c>
      <c r="Q296" s="127"/>
      <c r="R296" s="127"/>
      <c r="S296" s="127"/>
      <c r="T296" s="171">
        <f t="shared" si="91"/>
        <v>0.8340000000000001</v>
      </c>
      <c r="U296" s="154">
        <v>1.022</v>
      </c>
      <c r="V296" s="236">
        <f t="shared" si="87"/>
        <v>-0.18799999999999994</v>
      </c>
      <c r="W296" s="127"/>
      <c r="X296" s="127">
        <v>0.466</v>
      </c>
      <c r="Y296" s="128"/>
      <c r="Z296" s="168">
        <f t="shared" si="88"/>
        <v>1.3</v>
      </c>
      <c r="AB296" s="88">
        <f t="shared" si="83"/>
        <v>0</v>
      </c>
      <c r="AD296" s="298"/>
      <c r="AE296" s="298"/>
      <c r="AF296" s="298"/>
      <c r="AG296" s="298"/>
      <c r="AH296" s="298"/>
      <c r="AI296" s="298"/>
      <c r="AJ296" s="298">
        <f t="shared" si="89"/>
        <v>1.3</v>
      </c>
      <c r="AK296" s="298"/>
      <c r="AL296" s="298"/>
      <c r="AM296" s="301"/>
      <c r="AN296" s="301">
        <f t="shared" si="90"/>
        <v>1.3</v>
      </c>
      <c r="AP296" s="301"/>
      <c r="AQ296" s="301"/>
      <c r="AR296" s="301"/>
      <c r="AS296" s="301"/>
      <c r="AT296" s="301"/>
      <c r="AU296" s="301"/>
      <c r="AV296" s="301"/>
      <c r="AW296" s="301"/>
      <c r="AX296" s="301">
        <v>1.3</v>
      </c>
      <c r="AY296" s="301"/>
      <c r="AZ296" s="301"/>
      <c r="BA296" s="301"/>
      <c r="BB296" s="301"/>
      <c r="BC296" s="301"/>
      <c r="BD296" s="301"/>
    </row>
    <row r="297" spans="3:56" ht="12.75">
      <c r="C297" s="148" t="s">
        <v>189</v>
      </c>
      <c r="D297" s="252"/>
      <c r="E297" s="149"/>
      <c r="F297" s="150"/>
      <c r="G297" s="150"/>
      <c r="H297" s="123"/>
      <c r="I297" s="151"/>
      <c r="J297" s="152"/>
      <c r="K297" s="200"/>
      <c r="L297" s="200"/>
      <c r="M297" s="153"/>
      <c r="N297" s="153"/>
      <c r="O297" s="153"/>
      <c r="P297" s="153"/>
      <c r="Q297" s="127"/>
      <c r="R297" s="127"/>
      <c r="S297" s="127"/>
      <c r="T297" s="171">
        <f t="shared" si="91"/>
        <v>0</v>
      </c>
      <c r="U297" s="153"/>
      <c r="V297" s="236">
        <f t="shared" si="87"/>
        <v>0</v>
      </c>
      <c r="W297" s="127"/>
      <c r="X297" s="127"/>
      <c r="Y297" s="128"/>
      <c r="Z297" s="168"/>
      <c r="AB297" s="88">
        <f t="shared" si="83"/>
        <v>0</v>
      </c>
      <c r="AD297" s="298"/>
      <c r="AE297" s="298"/>
      <c r="AF297" s="298"/>
      <c r="AG297" s="298"/>
      <c r="AH297" s="298"/>
      <c r="AI297" s="298"/>
      <c r="AJ297" s="298">
        <f t="shared" si="89"/>
        <v>0</v>
      </c>
      <c r="AK297" s="298"/>
      <c r="AL297" s="298"/>
      <c r="AM297" s="301"/>
      <c r="AN297" s="301">
        <f t="shared" si="90"/>
        <v>0</v>
      </c>
      <c r="AP297" s="301"/>
      <c r="AQ297" s="301"/>
      <c r="AR297" s="301"/>
      <c r="AS297" s="301"/>
      <c r="AT297" s="301"/>
      <c r="AU297" s="301"/>
      <c r="AV297" s="301"/>
      <c r="AW297" s="301"/>
      <c r="AX297" s="301"/>
      <c r="AY297" s="301"/>
      <c r="AZ297" s="301"/>
      <c r="BA297" s="301"/>
      <c r="BB297" s="301"/>
      <c r="BC297" s="301"/>
      <c r="BD297" s="301"/>
    </row>
    <row r="298" spans="3:57" ht="12.75">
      <c r="C298" s="155" t="s">
        <v>383</v>
      </c>
      <c r="D298" s="252"/>
      <c r="E298" s="149"/>
      <c r="F298" s="150">
        <v>0.067</v>
      </c>
      <c r="G298" s="150"/>
      <c r="H298" s="123"/>
      <c r="I298" s="151"/>
      <c r="J298" s="152"/>
      <c r="K298" s="200"/>
      <c r="L298" s="200"/>
      <c r="M298" s="153"/>
      <c r="N298" s="153"/>
      <c r="O298" s="153">
        <v>0.067</v>
      </c>
      <c r="P298" s="153"/>
      <c r="Q298" s="127"/>
      <c r="R298" s="127"/>
      <c r="S298" s="127"/>
      <c r="T298" s="171">
        <f t="shared" si="91"/>
        <v>0.067</v>
      </c>
      <c r="U298" s="154">
        <v>0.067</v>
      </c>
      <c r="V298" s="236">
        <f t="shared" si="87"/>
        <v>0</v>
      </c>
      <c r="W298" s="127"/>
      <c r="X298" s="127"/>
      <c r="Y298" s="128"/>
      <c r="Z298" s="168">
        <f>T298+SUM(W298:X298)</f>
        <v>0.067</v>
      </c>
      <c r="AB298" s="88">
        <f t="shared" si="83"/>
        <v>0</v>
      </c>
      <c r="AD298" s="298"/>
      <c r="AE298" s="298"/>
      <c r="AF298" s="298">
        <v>0.02</v>
      </c>
      <c r="AG298" s="298">
        <v>0.047</v>
      </c>
      <c r="AH298" s="298"/>
      <c r="AI298" s="298"/>
      <c r="AJ298" s="298">
        <f t="shared" si="89"/>
        <v>0</v>
      </c>
      <c r="AK298" s="298"/>
      <c r="AL298" s="298"/>
      <c r="AM298" s="301"/>
      <c r="AN298" s="301">
        <f t="shared" si="90"/>
        <v>0.067</v>
      </c>
      <c r="AP298" s="301"/>
      <c r="AQ298" s="301"/>
      <c r="AR298" s="301"/>
      <c r="AS298" s="301"/>
      <c r="AT298" s="301"/>
      <c r="AU298" s="301"/>
      <c r="AV298" s="301"/>
      <c r="AW298" s="301"/>
      <c r="AX298" s="301"/>
      <c r="AY298" s="301"/>
      <c r="AZ298" s="301"/>
      <c r="BA298" s="301"/>
      <c r="BB298" s="301"/>
      <c r="BC298" s="301"/>
      <c r="BD298" s="301"/>
      <c r="BE298" s="98" t="s">
        <v>546</v>
      </c>
    </row>
    <row r="299" spans="3:56" ht="12.75">
      <c r="C299" s="155" t="s">
        <v>213</v>
      </c>
      <c r="D299" s="203"/>
      <c r="E299" s="149"/>
      <c r="F299" s="150">
        <f>0.366-0.338</f>
        <v>0.02799999999999997</v>
      </c>
      <c r="G299" s="150"/>
      <c r="H299" s="123"/>
      <c r="I299" s="151"/>
      <c r="J299" s="152"/>
      <c r="K299" s="153"/>
      <c r="L299" s="200">
        <v>0.028</v>
      </c>
      <c r="M299" s="153"/>
      <c r="N299" s="153"/>
      <c r="O299" s="153"/>
      <c r="P299" s="153"/>
      <c r="Q299" s="127"/>
      <c r="R299" s="127"/>
      <c r="S299" s="127"/>
      <c r="T299" s="171">
        <f t="shared" si="91"/>
        <v>0.028</v>
      </c>
      <c r="U299" s="154">
        <v>0.028</v>
      </c>
      <c r="V299" s="236">
        <f t="shared" si="87"/>
        <v>0</v>
      </c>
      <c r="W299" s="127"/>
      <c r="X299" s="127"/>
      <c r="Y299" s="128"/>
      <c r="Z299" s="168">
        <f>T299+SUM(W299:X299)</f>
        <v>0.028</v>
      </c>
      <c r="AB299" s="88">
        <f t="shared" si="83"/>
        <v>-3.122502256758253E-17</v>
      </c>
      <c r="AD299" s="298"/>
      <c r="AE299" s="298"/>
      <c r="AF299" s="298"/>
      <c r="AG299" s="298"/>
      <c r="AH299" s="298"/>
      <c r="AI299" s="298"/>
      <c r="AJ299" s="298">
        <f t="shared" si="89"/>
        <v>0.028</v>
      </c>
      <c r="AK299" s="298"/>
      <c r="AL299" s="298"/>
      <c r="AM299" s="301"/>
      <c r="AN299" s="301">
        <f t="shared" si="90"/>
        <v>0.028</v>
      </c>
      <c r="AP299" s="301"/>
      <c r="AQ299" s="301"/>
      <c r="AR299" s="301">
        <v>0.028</v>
      </c>
      <c r="AS299" s="301"/>
      <c r="AT299" s="301"/>
      <c r="AU299" s="301"/>
      <c r="AV299" s="301"/>
      <c r="AW299" s="301"/>
      <c r="AX299" s="301"/>
      <c r="AY299" s="301"/>
      <c r="AZ299" s="301"/>
      <c r="BA299" s="301"/>
      <c r="BB299" s="301"/>
      <c r="BC299" s="301"/>
      <c r="BD299" s="301"/>
    </row>
    <row r="300" spans="3:56" ht="12.75">
      <c r="C300" s="155" t="s">
        <v>214</v>
      </c>
      <c r="D300" s="203"/>
      <c r="E300" s="149"/>
      <c r="F300" s="150">
        <v>0.02</v>
      </c>
      <c r="G300" s="150"/>
      <c r="H300" s="123"/>
      <c r="I300" s="151"/>
      <c r="J300" s="152"/>
      <c r="K300" s="153"/>
      <c r="L300" s="200"/>
      <c r="M300" s="153"/>
      <c r="N300" s="153"/>
      <c r="O300" s="153"/>
      <c r="P300" s="153">
        <v>0.011</v>
      </c>
      <c r="Q300" s="127">
        <v>0.009</v>
      </c>
      <c r="R300" s="127"/>
      <c r="S300" s="127"/>
      <c r="T300" s="171">
        <f t="shared" si="91"/>
        <v>0.019999999999999997</v>
      </c>
      <c r="U300" s="154">
        <v>0.014</v>
      </c>
      <c r="V300" s="236">
        <f t="shared" si="87"/>
        <v>0.005999999999999997</v>
      </c>
      <c r="W300" s="127"/>
      <c r="X300" s="127"/>
      <c r="Y300" s="128"/>
      <c r="Z300" s="168">
        <f>T300+SUM(W300:X300)</f>
        <v>0.019999999999999997</v>
      </c>
      <c r="AB300" s="88">
        <f t="shared" si="83"/>
        <v>0</v>
      </c>
      <c r="AD300" s="299"/>
      <c r="AE300" s="299"/>
      <c r="AF300" s="299"/>
      <c r="AG300" s="299">
        <v>0.015</v>
      </c>
      <c r="AH300" s="299"/>
      <c r="AI300" s="299"/>
      <c r="AJ300" s="299">
        <f t="shared" si="89"/>
        <v>0.005</v>
      </c>
      <c r="AK300" s="299"/>
      <c r="AL300" s="299"/>
      <c r="AM300" s="302"/>
      <c r="AN300" s="302">
        <f t="shared" si="90"/>
        <v>0.02</v>
      </c>
      <c r="AP300" s="302"/>
      <c r="AQ300" s="302"/>
      <c r="AR300" s="302"/>
      <c r="AS300" s="302"/>
      <c r="AT300" s="302"/>
      <c r="AU300" s="302"/>
      <c r="AV300" s="302"/>
      <c r="AW300" s="302"/>
      <c r="AX300" s="302"/>
      <c r="AY300" s="302"/>
      <c r="AZ300" s="302"/>
      <c r="BA300" s="302">
        <v>0.005</v>
      </c>
      <c r="BB300" s="302"/>
      <c r="BC300" s="302"/>
      <c r="BD300" s="302"/>
    </row>
    <row r="301" spans="2:38" s="173" customFormat="1" ht="12.75">
      <c r="B301" s="170"/>
      <c r="C301" s="155"/>
      <c r="D301" s="203"/>
      <c r="E301" s="149"/>
      <c r="F301" s="150"/>
      <c r="G301" s="150"/>
      <c r="H301" s="171"/>
      <c r="I301" s="151"/>
      <c r="J301" s="152"/>
      <c r="K301" s="153"/>
      <c r="L301" s="200"/>
      <c r="M301" s="153"/>
      <c r="N301" s="153"/>
      <c r="O301" s="153"/>
      <c r="P301" s="153"/>
      <c r="Q301" s="131"/>
      <c r="R301" s="131"/>
      <c r="S301" s="131"/>
      <c r="T301" s="152"/>
      <c r="U301" s="153"/>
      <c r="V301" s="231"/>
      <c r="W301" s="131"/>
      <c r="X301" s="131"/>
      <c r="Y301" s="172"/>
      <c r="Z301" s="168"/>
      <c r="AA301" s="170"/>
      <c r="AB301" s="88">
        <f t="shared" si="83"/>
        <v>0</v>
      </c>
      <c r="AC301" s="170"/>
      <c r="AD301" s="170"/>
      <c r="AE301" s="170"/>
      <c r="AF301" s="170"/>
      <c r="AG301" s="170"/>
      <c r="AH301" s="170"/>
      <c r="AI301" s="170"/>
      <c r="AJ301" s="170"/>
      <c r="AK301" s="170"/>
      <c r="AL301" s="170"/>
    </row>
    <row r="302" spans="3:56" ht="13.5" customHeight="1">
      <c r="C302" s="163" t="s">
        <v>113</v>
      </c>
      <c r="D302" s="255"/>
      <c r="E302" s="164"/>
      <c r="F302" s="165">
        <f>SUM(F287:F301)</f>
        <v>2.6670000000000003</v>
      </c>
      <c r="G302" s="165"/>
      <c r="H302" s="123"/>
      <c r="I302" s="166"/>
      <c r="J302" s="167">
        <f aca="true" t="shared" si="92" ref="J302:X302">SUM(J287:J301)</f>
        <v>1.1320000000000001</v>
      </c>
      <c r="K302" s="154">
        <f t="shared" si="92"/>
        <v>0</v>
      </c>
      <c r="L302" s="221">
        <f t="shared" si="92"/>
        <v>0.028</v>
      </c>
      <c r="M302" s="154">
        <f t="shared" si="92"/>
        <v>0.007</v>
      </c>
      <c r="N302" s="131">
        <f t="shared" si="92"/>
        <v>0.35800000000000004</v>
      </c>
      <c r="O302" s="131">
        <f t="shared" si="92"/>
        <v>0.08600000000000001</v>
      </c>
      <c r="P302" s="131">
        <f t="shared" si="92"/>
        <v>0.524</v>
      </c>
      <c r="Q302" s="131">
        <f t="shared" si="92"/>
        <v>0.009</v>
      </c>
      <c r="R302" s="131">
        <f t="shared" si="92"/>
        <v>0</v>
      </c>
      <c r="S302" s="131">
        <f t="shared" si="92"/>
        <v>0</v>
      </c>
      <c r="T302" s="167">
        <f t="shared" si="92"/>
        <v>2.144</v>
      </c>
      <c r="U302" s="154">
        <f t="shared" si="92"/>
        <v>1.611</v>
      </c>
      <c r="V302" s="232">
        <f t="shared" si="92"/>
        <v>0.5330000000000001</v>
      </c>
      <c r="W302" s="131">
        <f t="shared" si="92"/>
        <v>0.028</v>
      </c>
      <c r="X302" s="131">
        <f t="shared" si="92"/>
        <v>0.49500000000000005</v>
      </c>
      <c r="Y302" s="128"/>
      <c r="Z302" s="168">
        <f>SUM(Z287:Z301)</f>
        <v>2.6670000000000003</v>
      </c>
      <c r="AB302" s="88">
        <f t="shared" si="83"/>
        <v>0</v>
      </c>
      <c r="AD302" s="170">
        <f>SUM(AD287:AD300)</f>
        <v>0</v>
      </c>
      <c r="AE302" s="170">
        <f aca="true" t="shared" si="93" ref="AE302:BD302">SUM(AE287:AE300)</f>
        <v>0</v>
      </c>
      <c r="AF302" s="170">
        <f t="shared" si="93"/>
        <v>0.056999999999999995</v>
      </c>
      <c r="AG302" s="170">
        <f t="shared" si="93"/>
        <v>1.016</v>
      </c>
      <c r="AH302" s="170">
        <f t="shared" si="93"/>
        <v>0</v>
      </c>
      <c r="AI302" s="170">
        <f t="shared" si="93"/>
        <v>0</v>
      </c>
      <c r="AJ302" s="170">
        <f t="shared" si="93"/>
        <v>1.583</v>
      </c>
      <c r="AK302" s="170">
        <f t="shared" si="93"/>
        <v>0</v>
      </c>
      <c r="AL302" s="170">
        <f t="shared" si="93"/>
        <v>0</v>
      </c>
      <c r="AM302" s="170">
        <f t="shared" si="93"/>
        <v>0.011</v>
      </c>
      <c r="AN302" s="170">
        <f t="shared" si="93"/>
        <v>2.6670000000000003</v>
      </c>
      <c r="AP302" s="170">
        <f t="shared" si="93"/>
        <v>0</v>
      </c>
      <c r="AQ302" s="170">
        <f t="shared" si="93"/>
        <v>0</v>
      </c>
      <c r="AR302" s="170">
        <f t="shared" si="93"/>
        <v>0.028</v>
      </c>
      <c r="AS302" s="170">
        <f t="shared" si="93"/>
        <v>0</v>
      </c>
      <c r="AT302" s="170">
        <f t="shared" si="93"/>
        <v>0</v>
      </c>
      <c r="AU302" s="170">
        <f t="shared" si="93"/>
        <v>0</v>
      </c>
      <c r="AV302" s="170">
        <f t="shared" si="93"/>
        <v>0</v>
      </c>
      <c r="AW302" s="170">
        <f t="shared" si="93"/>
        <v>0</v>
      </c>
      <c r="AX302" s="170">
        <f t="shared" si="93"/>
        <v>1.3</v>
      </c>
      <c r="AY302" s="170">
        <f t="shared" si="93"/>
        <v>0</v>
      </c>
      <c r="AZ302" s="170">
        <f t="shared" si="93"/>
        <v>0</v>
      </c>
      <c r="BA302" s="170">
        <f t="shared" si="93"/>
        <v>0.235</v>
      </c>
      <c r="BB302" s="170">
        <f t="shared" si="93"/>
        <v>0</v>
      </c>
      <c r="BC302" s="170">
        <f t="shared" si="93"/>
        <v>0</v>
      </c>
      <c r="BD302" s="170">
        <f t="shared" si="93"/>
        <v>0.02</v>
      </c>
    </row>
    <row r="303" spans="3:28" ht="12.75">
      <c r="C303" s="273"/>
      <c r="D303" s="203"/>
      <c r="E303" s="149"/>
      <c r="F303" s="150"/>
      <c r="G303" s="150"/>
      <c r="H303" s="123"/>
      <c r="I303" s="151"/>
      <c r="J303" s="152"/>
      <c r="K303" s="153"/>
      <c r="L303" s="200"/>
      <c r="M303" s="153"/>
      <c r="N303" s="153"/>
      <c r="O303" s="153"/>
      <c r="P303" s="153"/>
      <c r="Q303" s="127"/>
      <c r="R303" s="127"/>
      <c r="S303" s="127"/>
      <c r="T303" s="152"/>
      <c r="U303" s="153"/>
      <c r="V303" s="231"/>
      <c r="W303" s="127"/>
      <c r="X303" s="127"/>
      <c r="Y303" s="128"/>
      <c r="Z303" s="168"/>
      <c r="AB303" s="88">
        <f t="shared" si="83"/>
        <v>0</v>
      </c>
    </row>
    <row r="304" spans="3:28" ht="12.75">
      <c r="C304" s="163" t="s">
        <v>116</v>
      </c>
      <c r="D304" s="255"/>
      <c r="E304" s="149"/>
      <c r="F304" s="150"/>
      <c r="G304" s="150"/>
      <c r="H304" s="123"/>
      <c r="I304" s="151"/>
      <c r="J304" s="152"/>
      <c r="K304" s="153"/>
      <c r="L304" s="200"/>
      <c r="M304" s="153"/>
      <c r="N304" s="153"/>
      <c r="O304" s="153"/>
      <c r="P304" s="153"/>
      <c r="Q304" s="127"/>
      <c r="R304" s="127"/>
      <c r="S304" s="127"/>
      <c r="T304" s="152"/>
      <c r="U304" s="153"/>
      <c r="V304" s="231"/>
      <c r="W304" s="127"/>
      <c r="X304" s="127"/>
      <c r="Y304" s="128"/>
      <c r="Z304" s="168"/>
      <c r="AB304" s="88">
        <f t="shared" si="83"/>
        <v>0</v>
      </c>
    </row>
    <row r="305" spans="1:56" ht="12.75">
      <c r="A305" s="98" t="s">
        <v>470</v>
      </c>
      <c r="C305" s="155" t="s">
        <v>471</v>
      </c>
      <c r="D305" s="255"/>
      <c r="E305" s="149"/>
      <c r="F305" s="150">
        <v>0.061</v>
      </c>
      <c r="G305" s="150"/>
      <c r="H305" s="123"/>
      <c r="I305" s="151"/>
      <c r="J305" s="152"/>
      <c r="K305" s="153"/>
      <c r="L305" s="98"/>
      <c r="M305" s="153"/>
      <c r="N305" s="153"/>
      <c r="O305" s="153"/>
      <c r="P305" s="153"/>
      <c r="Q305" s="127"/>
      <c r="R305" s="98"/>
      <c r="S305" s="127"/>
      <c r="T305" s="171">
        <f aca="true" t="shared" si="94" ref="T305:T321">SUM(J305:S305)</f>
        <v>0</v>
      </c>
      <c r="U305" s="154">
        <v>0.004</v>
      </c>
      <c r="V305" s="236">
        <f>T305-U305</f>
        <v>-0.004</v>
      </c>
      <c r="W305" s="127"/>
      <c r="X305" s="127"/>
      <c r="Y305" s="128"/>
      <c r="Z305" s="168">
        <v>0.061</v>
      </c>
      <c r="AB305" s="88">
        <f t="shared" si="83"/>
        <v>0</v>
      </c>
      <c r="AD305" s="309"/>
      <c r="AE305" s="297"/>
      <c r="AF305" s="297"/>
      <c r="AG305" s="309">
        <v>0.061</v>
      </c>
      <c r="AH305" s="297"/>
      <c r="AI305" s="297"/>
      <c r="AJ305" s="297">
        <f>SUM(AP305:BD305)</f>
        <v>0</v>
      </c>
      <c r="AK305" s="297"/>
      <c r="AL305" s="297"/>
      <c r="AM305" s="300"/>
      <c r="AN305" s="300">
        <f aca="true" t="shared" si="95" ref="AN305:AN321">SUM(AD305:AM305)</f>
        <v>0.061</v>
      </c>
      <c r="AP305" s="300"/>
      <c r="AQ305" s="300"/>
      <c r="AR305" s="300"/>
      <c r="AS305" s="300"/>
      <c r="AT305" s="300"/>
      <c r="AU305" s="300"/>
      <c r="AV305" s="300"/>
      <c r="AW305" s="300"/>
      <c r="AX305" s="300"/>
      <c r="AY305" s="300"/>
      <c r="AZ305" s="300"/>
      <c r="BA305" s="300"/>
      <c r="BB305" s="300"/>
      <c r="BC305" s="300"/>
      <c r="BD305" s="300"/>
    </row>
    <row r="306" spans="1:56" ht="12.75">
      <c r="A306" s="200" t="s">
        <v>458</v>
      </c>
      <c r="C306" s="155" t="s">
        <v>472</v>
      </c>
      <c r="D306" s="200" t="s">
        <v>598</v>
      </c>
      <c r="E306" s="149"/>
      <c r="F306" s="150">
        <v>0.015</v>
      </c>
      <c r="G306" s="150"/>
      <c r="H306" s="123"/>
      <c r="I306" s="151"/>
      <c r="J306" s="152"/>
      <c r="K306" s="153"/>
      <c r="L306" s="200"/>
      <c r="M306" s="153"/>
      <c r="N306" s="153"/>
      <c r="O306" s="153"/>
      <c r="P306" s="153"/>
      <c r="Q306" s="127"/>
      <c r="R306" s="127"/>
      <c r="S306" s="127"/>
      <c r="T306" s="171">
        <f t="shared" si="94"/>
        <v>0</v>
      </c>
      <c r="U306" s="154">
        <v>0.007</v>
      </c>
      <c r="V306" s="236">
        <f aca="true" t="shared" si="96" ref="V306:V321">T306-U306</f>
        <v>-0.007</v>
      </c>
      <c r="W306" s="127"/>
      <c r="X306" s="127">
        <v>0.015</v>
      </c>
      <c r="Y306" s="128"/>
      <c r="Z306" s="168">
        <f>T306+SUM(W306:X306)</f>
        <v>0.015</v>
      </c>
      <c r="AB306" s="88">
        <f t="shared" si="83"/>
        <v>0</v>
      </c>
      <c r="AD306" s="310"/>
      <c r="AE306" s="298"/>
      <c r="AF306" s="298"/>
      <c r="AG306" s="310">
        <v>0.015</v>
      </c>
      <c r="AH306" s="298"/>
      <c r="AI306" s="298"/>
      <c r="AJ306" s="298">
        <f aca="true" t="shared" si="97" ref="AJ306:AJ321">SUM(AP306:BD306)</f>
        <v>0</v>
      </c>
      <c r="AK306" s="298"/>
      <c r="AL306" s="298"/>
      <c r="AM306" s="301"/>
      <c r="AN306" s="301">
        <f t="shared" si="95"/>
        <v>0.015</v>
      </c>
      <c r="AP306" s="301"/>
      <c r="AQ306" s="301"/>
      <c r="AR306" s="301"/>
      <c r="AS306" s="301"/>
      <c r="AT306" s="301"/>
      <c r="AU306" s="301"/>
      <c r="AV306" s="301"/>
      <c r="AW306" s="301"/>
      <c r="AX306" s="301"/>
      <c r="AY306" s="301"/>
      <c r="AZ306" s="301"/>
      <c r="BA306" s="301"/>
      <c r="BB306" s="301"/>
      <c r="BC306" s="301"/>
      <c r="BD306" s="301"/>
    </row>
    <row r="307" spans="1:56" ht="12.75">
      <c r="A307" s="127" t="s">
        <v>459</v>
      </c>
      <c r="C307" s="155" t="s">
        <v>464</v>
      </c>
      <c r="D307" s="255"/>
      <c r="E307" s="149"/>
      <c r="F307" s="128">
        <v>0.088</v>
      </c>
      <c r="G307" s="150"/>
      <c r="H307" s="123"/>
      <c r="I307" s="151"/>
      <c r="J307" s="152"/>
      <c r="K307" s="153"/>
      <c r="L307" s="200"/>
      <c r="M307" s="153"/>
      <c r="N307" s="153"/>
      <c r="O307" s="153"/>
      <c r="P307" s="153"/>
      <c r="Q307" s="127"/>
      <c r="R307" s="127"/>
      <c r="S307" s="127"/>
      <c r="T307" s="171">
        <f t="shared" si="94"/>
        <v>0</v>
      </c>
      <c r="U307" s="154">
        <v>0.1</v>
      </c>
      <c r="V307" s="236">
        <f t="shared" si="96"/>
        <v>-0.1</v>
      </c>
      <c r="W307" s="127"/>
      <c r="X307" s="127">
        <v>0.088</v>
      </c>
      <c r="Y307" s="128"/>
      <c r="Z307" s="168">
        <f>T307+SUM(W307:X307)</f>
        <v>0.088</v>
      </c>
      <c r="AB307" s="88">
        <f t="shared" si="83"/>
        <v>0</v>
      </c>
      <c r="AD307" s="298"/>
      <c r="AE307" s="298"/>
      <c r="AF307" s="298"/>
      <c r="AG307" s="298">
        <v>0.088</v>
      </c>
      <c r="AH307" s="298"/>
      <c r="AI307" s="298"/>
      <c r="AJ307" s="298">
        <f t="shared" si="97"/>
        <v>0</v>
      </c>
      <c r="AK307" s="298"/>
      <c r="AL307" s="298"/>
      <c r="AM307" s="301"/>
      <c r="AN307" s="301">
        <f t="shared" si="95"/>
        <v>0.088</v>
      </c>
      <c r="AP307" s="301"/>
      <c r="AQ307" s="301"/>
      <c r="AR307" s="301"/>
      <c r="AS307" s="301"/>
      <c r="AT307" s="301"/>
      <c r="AU307" s="301"/>
      <c r="AV307" s="301"/>
      <c r="AW307" s="301"/>
      <c r="AX307" s="301"/>
      <c r="AY307" s="301"/>
      <c r="AZ307" s="301"/>
      <c r="BA307" s="301"/>
      <c r="BB307" s="301"/>
      <c r="BC307" s="301"/>
      <c r="BD307" s="301"/>
    </row>
    <row r="308" spans="1:56" ht="12.75">
      <c r="A308" s="88"/>
      <c r="C308" s="155" t="s">
        <v>493</v>
      </c>
      <c r="D308" s="255" t="s">
        <v>494</v>
      </c>
      <c r="E308" s="149"/>
      <c r="F308" s="128">
        <v>0.035</v>
      </c>
      <c r="G308" s="150"/>
      <c r="H308" s="123"/>
      <c r="I308" s="151"/>
      <c r="J308" s="152"/>
      <c r="K308" s="153"/>
      <c r="L308" s="200"/>
      <c r="M308" s="153"/>
      <c r="N308" s="153"/>
      <c r="O308" s="153"/>
      <c r="P308" s="153"/>
      <c r="Q308" s="127"/>
      <c r="R308" s="127"/>
      <c r="S308" s="127"/>
      <c r="T308" s="171">
        <f t="shared" si="94"/>
        <v>0</v>
      </c>
      <c r="U308" s="154">
        <v>0</v>
      </c>
      <c r="V308" s="236">
        <f t="shared" si="96"/>
        <v>0</v>
      </c>
      <c r="W308" s="127">
        <v>0.018</v>
      </c>
      <c r="X308" s="127">
        <v>0.017</v>
      </c>
      <c r="Y308" s="128"/>
      <c r="Z308" s="168">
        <f>T308+SUM(W308:X308)</f>
        <v>0.035</v>
      </c>
      <c r="AB308" s="88">
        <f t="shared" si="83"/>
        <v>0</v>
      </c>
      <c r="AD308" s="298"/>
      <c r="AE308" s="298"/>
      <c r="AF308" s="298"/>
      <c r="AG308" s="298">
        <v>0.035</v>
      </c>
      <c r="AH308" s="298"/>
      <c r="AI308" s="298"/>
      <c r="AJ308" s="298">
        <f t="shared" si="97"/>
        <v>0</v>
      </c>
      <c r="AK308" s="298"/>
      <c r="AL308" s="298"/>
      <c r="AM308" s="301"/>
      <c r="AN308" s="301">
        <f t="shared" si="95"/>
        <v>0.035</v>
      </c>
      <c r="AP308" s="301"/>
      <c r="AQ308" s="301"/>
      <c r="AR308" s="301"/>
      <c r="AS308" s="301"/>
      <c r="AT308" s="301"/>
      <c r="AU308" s="301"/>
      <c r="AV308" s="301"/>
      <c r="AW308" s="301"/>
      <c r="AX308" s="301"/>
      <c r="AY308" s="301"/>
      <c r="AZ308" s="301"/>
      <c r="BA308" s="301"/>
      <c r="BB308" s="301"/>
      <c r="BC308" s="301"/>
      <c r="BD308" s="301"/>
    </row>
    <row r="309" spans="1:56" ht="12.75">
      <c r="A309" s="98" t="s">
        <v>466</v>
      </c>
      <c r="C309" s="155" t="s">
        <v>465</v>
      </c>
      <c r="D309" s="203"/>
      <c r="E309" s="149"/>
      <c r="F309" s="150">
        <f>0.682-0.015-0.088-0.061-0.035-0.167</f>
        <v>0.31599999999999995</v>
      </c>
      <c r="G309" s="150"/>
      <c r="H309" s="123"/>
      <c r="I309" s="151"/>
      <c r="J309" s="152"/>
      <c r="K309" s="153"/>
      <c r="L309" s="200"/>
      <c r="M309" s="153"/>
      <c r="N309" s="153"/>
      <c r="O309" s="153"/>
      <c r="P309" s="153"/>
      <c r="Q309" s="127"/>
      <c r="R309" s="98"/>
      <c r="S309" s="127"/>
      <c r="T309" s="171">
        <f t="shared" si="94"/>
        <v>0</v>
      </c>
      <c r="U309" s="154">
        <v>0</v>
      </c>
      <c r="V309" s="236">
        <f t="shared" si="96"/>
        <v>0</v>
      </c>
      <c r="W309" s="127"/>
      <c r="X309" s="127">
        <v>0.316</v>
      </c>
      <c r="Y309" s="128"/>
      <c r="Z309" s="168">
        <f>T309+SUM(W309:X309)</f>
        <v>0.316</v>
      </c>
      <c r="AB309" s="88">
        <f t="shared" si="83"/>
        <v>0</v>
      </c>
      <c r="AD309" s="310"/>
      <c r="AE309" s="298"/>
      <c r="AF309" s="298"/>
      <c r="AG309" s="310">
        <f>0.682-0.015-0.088-0.061-0.035-0.167</f>
        <v>0.31599999999999995</v>
      </c>
      <c r="AH309" s="298"/>
      <c r="AI309" s="298"/>
      <c r="AJ309" s="298">
        <f t="shared" si="97"/>
        <v>0</v>
      </c>
      <c r="AK309" s="298"/>
      <c r="AL309" s="298"/>
      <c r="AM309" s="301"/>
      <c r="AN309" s="301">
        <f t="shared" si="95"/>
        <v>0.31599999999999995</v>
      </c>
      <c r="AP309" s="301"/>
      <c r="AQ309" s="301"/>
      <c r="AR309" s="301"/>
      <c r="AS309" s="301"/>
      <c r="AT309" s="301"/>
      <c r="AU309" s="301"/>
      <c r="AV309" s="301"/>
      <c r="AW309" s="301"/>
      <c r="AX309" s="301"/>
      <c r="AY309" s="301"/>
      <c r="AZ309" s="301"/>
      <c r="BA309" s="301"/>
      <c r="BB309" s="301"/>
      <c r="BC309" s="301"/>
      <c r="BD309" s="301"/>
    </row>
    <row r="310" spans="3:56" ht="12.75">
      <c r="C310" s="148" t="s">
        <v>117</v>
      </c>
      <c r="D310" s="252"/>
      <c r="E310" s="149"/>
      <c r="F310" s="150"/>
      <c r="G310" s="150"/>
      <c r="H310" s="123"/>
      <c r="I310" s="151"/>
      <c r="J310" s="152"/>
      <c r="K310" s="153"/>
      <c r="L310" s="200"/>
      <c r="M310" s="153"/>
      <c r="N310" s="153"/>
      <c r="O310" s="153"/>
      <c r="P310" s="153"/>
      <c r="Q310" s="127"/>
      <c r="R310" s="127"/>
      <c r="S310" s="127"/>
      <c r="T310" s="171"/>
      <c r="U310" s="153"/>
      <c r="V310" s="236">
        <f t="shared" si="96"/>
        <v>0</v>
      </c>
      <c r="W310" s="127"/>
      <c r="X310" s="127"/>
      <c r="Y310" s="128"/>
      <c r="Z310" s="168"/>
      <c r="AB310" s="88">
        <f t="shared" si="83"/>
        <v>0</v>
      </c>
      <c r="AD310" s="298"/>
      <c r="AE310" s="298"/>
      <c r="AF310" s="298"/>
      <c r="AG310" s="298"/>
      <c r="AH310" s="298"/>
      <c r="AI310" s="298"/>
      <c r="AJ310" s="298">
        <f t="shared" si="97"/>
        <v>0</v>
      </c>
      <c r="AK310" s="298"/>
      <c r="AL310" s="298"/>
      <c r="AM310" s="301"/>
      <c r="AN310" s="301">
        <f t="shared" si="95"/>
        <v>0</v>
      </c>
      <c r="AP310" s="301"/>
      <c r="AQ310" s="301"/>
      <c r="AR310" s="301"/>
      <c r="AS310" s="301"/>
      <c r="AT310" s="301"/>
      <c r="AU310" s="301"/>
      <c r="AV310" s="301"/>
      <c r="AW310" s="301"/>
      <c r="AX310" s="301"/>
      <c r="AY310" s="301"/>
      <c r="AZ310" s="301"/>
      <c r="BA310" s="301"/>
      <c r="BB310" s="301"/>
      <c r="BC310" s="301"/>
      <c r="BD310" s="301"/>
    </row>
    <row r="311" spans="3:56" ht="12.75">
      <c r="C311" s="155" t="s">
        <v>118</v>
      </c>
      <c r="D311" s="203"/>
      <c r="E311" s="149"/>
      <c r="F311" s="150">
        <f>0.5+0.167</f>
        <v>0.667</v>
      </c>
      <c r="G311" s="150"/>
      <c r="H311" s="123"/>
      <c r="I311" s="151"/>
      <c r="J311" s="152"/>
      <c r="K311" s="153">
        <v>0.012</v>
      </c>
      <c r="L311" s="200">
        <v>0.102</v>
      </c>
      <c r="M311" s="200">
        <v>0.102</v>
      </c>
      <c r="N311" s="200">
        <v>0.102</v>
      </c>
      <c r="O311" s="153">
        <v>0.102</v>
      </c>
      <c r="P311" s="153">
        <v>0.08</v>
      </c>
      <c r="Q311" s="153"/>
      <c r="R311" s="153"/>
      <c r="S311" s="153"/>
      <c r="T311" s="171">
        <f t="shared" si="94"/>
        <v>0.49999999999999994</v>
      </c>
      <c r="U311" s="154">
        <v>0.524</v>
      </c>
      <c r="V311" s="236">
        <f t="shared" si="96"/>
        <v>-0.024000000000000077</v>
      </c>
      <c r="W311" s="153">
        <v>0.084</v>
      </c>
      <c r="X311" s="153">
        <v>0.083</v>
      </c>
      <c r="Y311" s="128"/>
      <c r="Z311" s="168">
        <f aca="true" t="shared" si="98" ref="Z311:Z321">T311+SUM(W311:X311)</f>
        <v>0.6669999999999999</v>
      </c>
      <c r="AB311" s="88">
        <f t="shared" si="83"/>
        <v>0</v>
      </c>
      <c r="AD311" s="298"/>
      <c r="AE311" s="298"/>
      <c r="AF311" s="298"/>
      <c r="AG311" s="298">
        <f>0.5+0.167</f>
        <v>0.667</v>
      </c>
      <c r="AH311" s="298"/>
      <c r="AI311" s="298"/>
      <c r="AJ311" s="298">
        <f t="shared" si="97"/>
        <v>0</v>
      </c>
      <c r="AK311" s="298"/>
      <c r="AL311" s="298"/>
      <c r="AM311" s="301"/>
      <c r="AN311" s="301">
        <f t="shared" si="95"/>
        <v>0.667</v>
      </c>
      <c r="AP311" s="301"/>
      <c r="AQ311" s="301"/>
      <c r="AR311" s="301"/>
      <c r="AS311" s="301"/>
      <c r="AT311" s="301"/>
      <c r="AU311" s="301"/>
      <c r="AV311" s="301"/>
      <c r="AW311" s="301"/>
      <c r="AX311" s="301"/>
      <c r="AY311" s="301"/>
      <c r="AZ311" s="301"/>
      <c r="BA311" s="301"/>
      <c r="BB311" s="301"/>
      <c r="BC311" s="301"/>
      <c r="BD311" s="301"/>
    </row>
    <row r="312" spans="3:56" ht="12.75">
      <c r="C312" s="155" t="s">
        <v>119</v>
      </c>
      <c r="D312" s="203"/>
      <c r="E312" s="149"/>
      <c r="F312" s="150">
        <v>1.629</v>
      </c>
      <c r="G312" s="150"/>
      <c r="H312" s="123"/>
      <c r="I312" s="151"/>
      <c r="J312" s="152">
        <v>0.136</v>
      </c>
      <c r="K312" s="153">
        <v>0.136</v>
      </c>
      <c r="L312" s="200">
        <v>0.136</v>
      </c>
      <c r="M312" s="153">
        <v>0.136</v>
      </c>
      <c r="N312" s="153">
        <v>0.136</v>
      </c>
      <c r="O312" s="153">
        <v>0.136</v>
      </c>
      <c r="P312" s="153">
        <v>0.136</v>
      </c>
      <c r="Q312" s="153">
        <v>0.136</v>
      </c>
      <c r="R312" s="153">
        <v>0.136</v>
      </c>
      <c r="S312" s="153">
        <v>0.136</v>
      </c>
      <c r="T312" s="171">
        <f t="shared" si="94"/>
        <v>1.3600000000000003</v>
      </c>
      <c r="U312" s="154">
        <v>0.159</v>
      </c>
      <c r="V312" s="236">
        <f t="shared" si="96"/>
        <v>1.2010000000000003</v>
      </c>
      <c r="W312" s="153">
        <v>0.136</v>
      </c>
      <c r="X312" s="153">
        <v>0.133</v>
      </c>
      <c r="Y312" s="128"/>
      <c r="Z312" s="168">
        <f t="shared" si="98"/>
        <v>1.6290000000000004</v>
      </c>
      <c r="AB312" s="88">
        <f t="shared" si="83"/>
        <v>0</v>
      </c>
      <c r="AD312" s="298"/>
      <c r="AE312" s="298"/>
      <c r="AF312" s="298"/>
      <c r="AG312" s="298">
        <v>1.629</v>
      </c>
      <c r="AH312" s="298"/>
      <c r="AI312" s="298"/>
      <c r="AJ312" s="298">
        <f t="shared" si="97"/>
        <v>0</v>
      </c>
      <c r="AK312" s="298"/>
      <c r="AL312" s="298"/>
      <c r="AM312" s="301"/>
      <c r="AN312" s="301">
        <f t="shared" si="95"/>
        <v>1.629</v>
      </c>
      <c r="AP312" s="301"/>
      <c r="AQ312" s="301"/>
      <c r="AR312" s="301"/>
      <c r="AS312" s="301"/>
      <c r="AT312" s="301"/>
      <c r="AU312" s="301"/>
      <c r="AV312" s="301"/>
      <c r="AW312" s="301"/>
      <c r="AX312" s="301"/>
      <c r="AY312" s="301"/>
      <c r="AZ312" s="301"/>
      <c r="BA312" s="301"/>
      <c r="BB312" s="301"/>
      <c r="BC312" s="301"/>
      <c r="BD312" s="301"/>
    </row>
    <row r="313" spans="3:56" ht="12.75">
      <c r="C313" s="155" t="s">
        <v>120</v>
      </c>
      <c r="D313" s="203"/>
      <c r="E313" s="149"/>
      <c r="F313" s="150">
        <v>0.1</v>
      </c>
      <c r="G313" s="150"/>
      <c r="H313" s="123"/>
      <c r="I313" s="151"/>
      <c r="J313" s="152">
        <v>0.008</v>
      </c>
      <c r="K313" s="153">
        <v>0.008</v>
      </c>
      <c r="L313" s="200">
        <v>0.008</v>
      </c>
      <c r="M313" s="153">
        <v>0.008</v>
      </c>
      <c r="N313" s="153">
        <v>0.008</v>
      </c>
      <c r="O313" s="153">
        <v>0.008</v>
      </c>
      <c r="P313" s="153">
        <v>0.008</v>
      </c>
      <c r="Q313" s="153">
        <v>0.008</v>
      </c>
      <c r="R313" s="153">
        <v>0.008</v>
      </c>
      <c r="S313" s="153">
        <v>0.008</v>
      </c>
      <c r="T313" s="171">
        <f t="shared" si="94"/>
        <v>0.08000000000000002</v>
      </c>
      <c r="U313" s="154">
        <v>0.084</v>
      </c>
      <c r="V313" s="236">
        <f t="shared" si="96"/>
        <v>-0.00399999999999999</v>
      </c>
      <c r="W313" s="153">
        <v>0.008</v>
      </c>
      <c r="X313" s="153">
        <v>0.012</v>
      </c>
      <c r="Y313" s="128"/>
      <c r="Z313" s="168">
        <f t="shared" si="98"/>
        <v>0.10000000000000002</v>
      </c>
      <c r="AB313" s="88">
        <f t="shared" si="83"/>
        <v>0</v>
      </c>
      <c r="AD313" s="298"/>
      <c r="AE313" s="298"/>
      <c r="AF313" s="298"/>
      <c r="AG313" s="298">
        <v>0.1</v>
      </c>
      <c r="AH313" s="298"/>
      <c r="AI313" s="298"/>
      <c r="AJ313" s="298">
        <f t="shared" si="97"/>
        <v>0</v>
      </c>
      <c r="AK313" s="298"/>
      <c r="AL313" s="298"/>
      <c r="AM313" s="301"/>
      <c r="AN313" s="301">
        <f t="shared" si="95"/>
        <v>0.1</v>
      </c>
      <c r="AP313" s="301"/>
      <c r="AQ313" s="301"/>
      <c r="AR313" s="301"/>
      <c r="AS313" s="301"/>
      <c r="AT313" s="301"/>
      <c r="AU313" s="301"/>
      <c r="AV313" s="301"/>
      <c r="AW313" s="301"/>
      <c r="AX313" s="301"/>
      <c r="AY313" s="301"/>
      <c r="AZ313" s="301"/>
      <c r="BA313" s="301"/>
      <c r="BB313" s="301"/>
      <c r="BC313" s="301"/>
      <c r="BD313" s="301"/>
    </row>
    <row r="314" spans="3:56" ht="12.75">
      <c r="C314" s="155" t="s">
        <v>121</v>
      </c>
      <c r="D314" s="203"/>
      <c r="E314" s="149"/>
      <c r="F314" s="150">
        <v>0.3</v>
      </c>
      <c r="G314" s="150"/>
      <c r="H314" s="123"/>
      <c r="I314" s="151"/>
      <c r="J314" s="152">
        <v>0.025</v>
      </c>
      <c r="K314" s="153">
        <v>0.025</v>
      </c>
      <c r="L314" s="200">
        <v>0.025</v>
      </c>
      <c r="M314" s="153">
        <v>0.025</v>
      </c>
      <c r="N314" s="153">
        <v>0.025</v>
      </c>
      <c r="O314" s="153">
        <v>0.025</v>
      </c>
      <c r="P314" s="153">
        <v>0.025</v>
      </c>
      <c r="Q314" s="153">
        <v>0.025</v>
      </c>
      <c r="R314" s="153">
        <v>0.025</v>
      </c>
      <c r="S314" s="153">
        <v>0.025</v>
      </c>
      <c r="T314" s="171">
        <f t="shared" si="94"/>
        <v>0.24999999999999997</v>
      </c>
      <c r="U314" s="154">
        <v>0.2</v>
      </c>
      <c r="V314" s="236">
        <f t="shared" si="96"/>
        <v>0.04999999999999996</v>
      </c>
      <c r="W314" s="153">
        <v>0.025</v>
      </c>
      <c r="X314" s="153">
        <v>0.025</v>
      </c>
      <c r="Y314" s="128"/>
      <c r="Z314" s="168">
        <f t="shared" si="98"/>
        <v>0.3</v>
      </c>
      <c r="AB314" s="88">
        <f t="shared" si="83"/>
        <v>0</v>
      </c>
      <c r="AD314" s="298"/>
      <c r="AE314" s="298"/>
      <c r="AF314" s="298"/>
      <c r="AG314" s="298">
        <v>0.3</v>
      </c>
      <c r="AH314" s="298"/>
      <c r="AI314" s="298"/>
      <c r="AJ314" s="298">
        <f t="shared" si="97"/>
        <v>0</v>
      </c>
      <c r="AK314" s="298"/>
      <c r="AL314" s="298"/>
      <c r="AM314" s="301"/>
      <c r="AN314" s="301">
        <f t="shared" si="95"/>
        <v>0.3</v>
      </c>
      <c r="AP314" s="301"/>
      <c r="AQ314" s="301"/>
      <c r="AR314" s="301"/>
      <c r="AS314" s="301"/>
      <c r="AT314" s="301"/>
      <c r="AU314" s="301"/>
      <c r="AV314" s="301"/>
      <c r="AW314" s="301"/>
      <c r="AX314" s="301"/>
      <c r="AY314" s="301"/>
      <c r="AZ314" s="301"/>
      <c r="BA314" s="301"/>
      <c r="BB314" s="301"/>
      <c r="BC314" s="301"/>
      <c r="BD314" s="301"/>
    </row>
    <row r="315" spans="3:57" ht="12.75">
      <c r="C315" s="155" t="s">
        <v>77</v>
      </c>
      <c r="D315" s="203"/>
      <c r="E315" s="149"/>
      <c r="F315" s="150">
        <f>0.1+0.139</f>
        <v>0.23900000000000002</v>
      </c>
      <c r="G315" s="150"/>
      <c r="H315" s="123"/>
      <c r="I315" s="151"/>
      <c r="J315" s="152">
        <v>0.008</v>
      </c>
      <c r="K315" s="153">
        <v>0.008</v>
      </c>
      <c r="L315" s="200">
        <v>0.008</v>
      </c>
      <c r="M315" s="153">
        <v>0.008</v>
      </c>
      <c r="N315" s="153">
        <v>0.008</v>
      </c>
      <c r="O315" s="153">
        <v>0.008</v>
      </c>
      <c r="P315" s="153">
        <v>0.147</v>
      </c>
      <c r="Q315" s="153">
        <v>0.008</v>
      </c>
      <c r="R315" s="153">
        <v>0.008</v>
      </c>
      <c r="S315" s="153">
        <v>0.008</v>
      </c>
      <c r="T315" s="171">
        <f t="shared" si="94"/>
        <v>0.21900000000000003</v>
      </c>
      <c r="U315" s="154">
        <v>0.246</v>
      </c>
      <c r="V315" s="236">
        <f t="shared" si="96"/>
        <v>-0.02699999999999997</v>
      </c>
      <c r="W315" s="153">
        <v>0.008</v>
      </c>
      <c r="X315" s="153">
        <v>0.012</v>
      </c>
      <c r="Y315" s="128"/>
      <c r="Z315" s="168">
        <f t="shared" si="98"/>
        <v>0.23900000000000002</v>
      </c>
      <c r="AB315" s="88">
        <f t="shared" si="83"/>
        <v>0</v>
      </c>
      <c r="AD315" s="298"/>
      <c r="AE315" s="298"/>
      <c r="AF315" s="298"/>
      <c r="AG315" s="298">
        <v>0.1</v>
      </c>
      <c r="AH315" s="298"/>
      <c r="AI315" s="298"/>
      <c r="AJ315" s="298">
        <f t="shared" si="97"/>
        <v>0.139</v>
      </c>
      <c r="AK315" s="298"/>
      <c r="AL315" s="298"/>
      <c r="AM315" s="301"/>
      <c r="AN315" s="301">
        <f t="shared" si="95"/>
        <v>0.23900000000000002</v>
      </c>
      <c r="AP315" s="301"/>
      <c r="AQ315" s="301"/>
      <c r="AR315" s="301"/>
      <c r="AS315" s="301"/>
      <c r="AT315" s="301"/>
      <c r="AU315" s="301"/>
      <c r="AV315" s="301"/>
      <c r="AW315" s="301"/>
      <c r="AX315" s="301"/>
      <c r="AY315" s="301"/>
      <c r="AZ315" s="301"/>
      <c r="BA315" s="301">
        <v>0.139</v>
      </c>
      <c r="BB315" s="301"/>
      <c r="BC315" s="301"/>
      <c r="BD315" s="301"/>
      <c r="BE315" s="98" t="s">
        <v>533</v>
      </c>
    </row>
    <row r="316" spans="3:56" ht="12.75">
      <c r="C316" s="155" t="s">
        <v>122</v>
      </c>
      <c r="D316" s="203"/>
      <c r="E316" s="149"/>
      <c r="F316" s="150">
        <v>0.5</v>
      </c>
      <c r="G316" s="150"/>
      <c r="H316" s="123"/>
      <c r="I316" s="151"/>
      <c r="J316" s="152">
        <v>0.041</v>
      </c>
      <c r="K316" s="153">
        <v>0.041</v>
      </c>
      <c r="L316" s="200">
        <v>0.041</v>
      </c>
      <c r="M316" s="153">
        <v>0.041</v>
      </c>
      <c r="N316" s="153">
        <v>0.041</v>
      </c>
      <c r="O316" s="153">
        <v>0.041</v>
      </c>
      <c r="P316" s="153">
        <v>0.041</v>
      </c>
      <c r="Q316" s="153">
        <v>0.041</v>
      </c>
      <c r="R316" s="153">
        <v>0.041</v>
      </c>
      <c r="S316" s="153">
        <v>0.041</v>
      </c>
      <c r="T316" s="171">
        <f t="shared" si="94"/>
        <v>0.41</v>
      </c>
      <c r="U316" s="154">
        <v>0.41</v>
      </c>
      <c r="V316" s="236">
        <f t="shared" si="96"/>
        <v>0</v>
      </c>
      <c r="W316" s="153">
        <v>0.041</v>
      </c>
      <c r="X316" s="153">
        <v>0.049</v>
      </c>
      <c r="Y316" s="128"/>
      <c r="Z316" s="168">
        <f t="shared" si="98"/>
        <v>0.5</v>
      </c>
      <c r="AB316" s="88">
        <f t="shared" si="83"/>
        <v>0</v>
      </c>
      <c r="AD316" s="298"/>
      <c r="AE316" s="298"/>
      <c r="AF316" s="298"/>
      <c r="AG316" s="298">
        <v>0.5</v>
      </c>
      <c r="AH316" s="298"/>
      <c r="AI316" s="298"/>
      <c r="AJ316" s="298">
        <f t="shared" si="97"/>
        <v>0</v>
      </c>
      <c r="AK316" s="298"/>
      <c r="AL316" s="298"/>
      <c r="AM316" s="301"/>
      <c r="AN316" s="301">
        <f t="shared" si="95"/>
        <v>0.5</v>
      </c>
      <c r="AP316" s="301"/>
      <c r="AQ316" s="301"/>
      <c r="AR316" s="301"/>
      <c r="AS316" s="301"/>
      <c r="AT316" s="301"/>
      <c r="AU316" s="301"/>
      <c r="AV316" s="301"/>
      <c r="AW316" s="301"/>
      <c r="AX316" s="301"/>
      <c r="AY316" s="301"/>
      <c r="AZ316" s="301"/>
      <c r="BA316" s="301"/>
      <c r="BB316" s="301"/>
      <c r="BC316" s="301"/>
      <c r="BD316" s="301"/>
    </row>
    <row r="317" spans="3:56" ht="12.75">
      <c r="C317" s="155" t="s">
        <v>215</v>
      </c>
      <c r="D317" s="203"/>
      <c r="E317" s="149"/>
      <c r="F317" s="150">
        <v>0.1</v>
      </c>
      <c r="G317" s="150"/>
      <c r="H317" s="123"/>
      <c r="I317" s="151"/>
      <c r="J317" s="152">
        <v>0.008</v>
      </c>
      <c r="K317" s="153">
        <v>0.008</v>
      </c>
      <c r="L317" s="200">
        <v>0.008</v>
      </c>
      <c r="M317" s="153">
        <v>0.008</v>
      </c>
      <c r="N317" s="153">
        <v>0.008</v>
      </c>
      <c r="O317" s="153">
        <v>0.008</v>
      </c>
      <c r="P317" s="153">
        <v>0.008</v>
      </c>
      <c r="Q317" s="153">
        <v>0.008</v>
      </c>
      <c r="R317" s="153">
        <v>0.008</v>
      </c>
      <c r="S317" s="153">
        <v>0.008</v>
      </c>
      <c r="T317" s="171">
        <f t="shared" si="94"/>
        <v>0.08000000000000002</v>
      </c>
      <c r="U317" s="154">
        <v>0.08</v>
      </c>
      <c r="V317" s="236">
        <f t="shared" si="96"/>
        <v>0</v>
      </c>
      <c r="W317" s="153">
        <v>0.008</v>
      </c>
      <c r="X317" s="153">
        <v>0.012</v>
      </c>
      <c r="Y317" s="128"/>
      <c r="Z317" s="168">
        <f t="shared" si="98"/>
        <v>0.10000000000000002</v>
      </c>
      <c r="AB317" s="88">
        <f t="shared" si="83"/>
        <v>0</v>
      </c>
      <c r="AD317" s="298"/>
      <c r="AE317" s="298"/>
      <c r="AF317" s="298"/>
      <c r="AG317" s="298">
        <v>0.1</v>
      </c>
      <c r="AH317" s="298"/>
      <c r="AI317" s="298"/>
      <c r="AJ317" s="298">
        <f t="shared" si="97"/>
        <v>0</v>
      </c>
      <c r="AK317" s="298"/>
      <c r="AL317" s="298"/>
      <c r="AM317" s="301"/>
      <c r="AN317" s="301">
        <f t="shared" si="95"/>
        <v>0.1</v>
      </c>
      <c r="AP317" s="301"/>
      <c r="AQ317" s="301"/>
      <c r="AR317" s="301"/>
      <c r="AS317" s="301"/>
      <c r="AT317" s="301"/>
      <c r="AU317" s="301"/>
      <c r="AV317" s="301"/>
      <c r="AW317" s="301"/>
      <c r="AX317" s="301"/>
      <c r="AY317" s="301"/>
      <c r="AZ317" s="301"/>
      <c r="BA317" s="301"/>
      <c r="BB317" s="301"/>
      <c r="BC317" s="301"/>
      <c r="BD317" s="301"/>
    </row>
    <row r="318" spans="3:56" ht="12.75">
      <c r="C318" s="155" t="s">
        <v>123</v>
      </c>
      <c r="D318" s="203"/>
      <c r="E318" s="149"/>
      <c r="F318" s="150">
        <v>0.238</v>
      </c>
      <c r="G318" s="150"/>
      <c r="H318" s="123"/>
      <c r="I318" s="151"/>
      <c r="J318" s="152">
        <v>0.02</v>
      </c>
      <c r="K318" s="153">
        <v>0.02</v>
      </c>
      <c r="L318" s="200">
        <v>0.02</v>
      </c>
      <c r="M318" s="153">
        <v>0.02</v>
      </c>
      <c r="N318" s="153">
        <v>0.02</v>
      </c>
      <c r="O318" s="153">
        <v>0.02</v>
      </c>
      <c r="P318" s="153">
        <v>0.02</v>
      </c>
      <c r="Q318" s="153">
        <v>0.02</v>
      </c>
      <c r="R318" s="153">
        <v>0.02</v>
      </c>
      <c r="S318" s="153">
        <v>0.02</v>
      </c>
      <c r="T318" s="171">
        <f t="shared" si="94"/>
        <v>0.19999999999999998</v>
      </c>
      <c r="U318" s="154">
        <v>0.2</v>
      </c>
      <c r="V318" s="236">
        <f t="shared" si="96"/>
        <v>0</v>
      </c>
      <c r="W318" s="153">
        <v>0.02</v>
      </c>
      <c r="X318" s="153">
        <v>0.018</v>
      </c>
      <c r="Y318" s="128"/>
      <c r="Z318" s="168">
        <f t="shared" si="98"/>
        <v>0.238</v>
      </c>
      <c r="AB318" s="88">
        <f t="shared" si="83"/>
        <v>0</v>
      </c>
      <c r="AD318" s="298"/>
      <c r="AE318" s="298"/>
      <c r="AF318" s="298"/>
      <c r="AG318" s="298">
        <v>0.238</v>
      </c>
      <c r="AH318" s="298"/>
      <c r="AI318" s="298"/>
      <c r="AJ318" s="298">
        <f t="shared" si="97"/>
        <v>0</v>
      </c>
      <c r="AK318" s="298"/>
      <c r="AL318" s="298"/>
      <c r="AM318" s="301"/>
      <c r="AN318" s="301">
        <f t="shared" si="95"/>
        <v>0.238</v>
      </c>
      <c r="AP318" s="301"/>
      <c r="AQ318" s="301"/>
      <c r="AR318" s="301"/>
      <c r="AS318" s="301"/>
      <c r="AT318" s="301"/>
      <c r="AU318" s="301"/>
      <c r="AV318" s="301"/>
      <c r="AW318" s="301"/>
      <c r="AX318" s="301"/>
      <c r="AY318" s="301"/>
      <c r="AZ318" s="301"/>
      <c r="BA318" s="301"/>
      <c r="BB318" s="301"/>
      <c r="BC318" s="301"/>
      <c r="BD318" s="301"/>
    </row>
    <row r="319" spans="3:56" ht="12.75">
      <c r="C319" s="155" t="s">
        <v>124</v>
      </c>
      <c r="D319" s="203"/>
      <c r="E319" s="149"/>
      <c r="F319" s="150">
        <v>0.1</v>
      </c>
      <c r="G319" s="150"/>
      <c r="H319" s="123"/>
      <c r="I319" s="151"/>
      <c r="J319" s="152">
        <v>0.008</v>
      </c>
      <c r="K319" s="153">
        <v>0.008</v>
      </c>
      <c r="L319" s="200">
        <v>0.008</v>
      </c>
      <c r="M319" s="153">
        <v>0.008</v>
      </c>
      <c r="N319" s="153">
        <v>0.008</v>
      </c>
      <c r="O319" s="153">
        <v>0.008</v>
      </c>
      <c r="P319" s="153">
        <v>0.008</v>
      </c>
      <c r="Q319" s="153">
        <v>0.008</v>
      </c>
      <c r="R319" s="153">
        <v>0.008</v>
      </c>
      <c r="S319" s="153">
        <v>0.008</v>
      </c>
      <c r="T319" s="171">
        <f t="shared" si="94"/>
        <v>0.08000000000000002</v>
      </c>
      <c r="U319" s="154">
        <v>0.08</v>
      </c>
      <c r="V319" s="236">
        <f t="shared" si="96"/>
        <v>0</v>
      </c>
      <c r="W319" s="153">
        <v>0.008</v>
      </c>
      <c r="X319" s="153">
        <v>0.012</v>
      </c>
      <c r="Y319" s="128"/>
      <c r="Z319" s="168">
        <f t="shared" si="98"/>
        <v>0.10000000000000002</v>
      </c>
      <c r="AB319" s="88">
        <f t="shared" si="83"/>
        <v>0</v>
      </c>
      <c r="AD319" s="298"/>
      <c r="AE319" s="298"/>
      <c r="AF319" s="298"/>
      <c r="AG319" s="298">
        <v>0.1</v>
      </c>
      <c r="AH319" s="298"/>
      <c r="AI319" s="298"/>
      <c r="AJ319" s="298">
        <f t="shared" si="97"/>
        <v>0</v>
      </c>
      <c r="AK319" s="298"/>
      <c r="AL319" s="298"/>
      <c r="AM319" s="301"/>
      <c r="AN319" s="301">
        <f t="shared" si="95"/>
        <v>0.1</v>
      </c>
      <c r="AP319" s="301"/>
      <c r="AQ319" s="301"/>
      <c r="AR319" s="301"/>
      <c r="AS319" s="301"/>
      <c r="AT319" s="301"/>
      <c r="AU319" s="301"/>
      <c r="AV319" s="301"/>
      <c r="AW319" s="301"/>
      <c r="AX319" s="301"/>
      <c r="AY319" s="301"/>
      <c r="AZ319" s="301"/>
      <c r="BA319" s="301"/>
      <c r="BB319" s="301"/>
      <c r="BC319" s="301"/>
      <c r="BD319" s="301"/>
    </row>
    <row r="320" spans="3:56" ht="12.75">
      <c r="C320" s="155" t="s">
        <v>260</v>
      </c>
      <c r="D320" s="203"/>
      <c r="E320" s="149"/>
      <c r="F320" s="150">
        <v>0.376</v>
      </c>
      <c r="G320" s="150"/>
      <c r="H320" s="123"/>
      <c r="I320" s="151"/>
      <c r="J320" s="152"/>
      <c r="K320" s="153"/>
      <c r="L320" s="200"/>
      <c r="M320" s="153"/>
      <c r="N320" s="153">
        <v>0.287</v>
      </c>
      <c r="O320" s="153">
        <v>0.03</v>
      </c>
      <c r="P320" s="153">
        <v>0.03</v>
      </c>
      <c r="Q320" s="153">
        <v>0.029</v>
      </c>
      <c r="R320" s="153"/>
      <c r="S320" s="153"/>
      <c r="T320" s="171">
        <f t="shared" si="94"/>
        <v>0.376</v>
      </c>
      <c r="U320" s="154">
        <v>0.376</v>
      </c>
      <c r="V320" s="236">
        <f t="shared" si="96"/>
        <v>0</v>
      </c>
      <c r="W320" s="127"/>
      <c r="X320" s="153"/>
      <c r="Y320" s="128"/>
      <c r="Z320" s="168">
        <f t="shared" si="98"/>
        <v>0.376</v>
      </c>
      <c r="AB320" s="88">
        <f t="shared" si="83"/>
        <v>0</v>
      </c>
      <c r="AD320" s="298"/>
      <c r="AE320" s="298"/>
      <c r="AF320" s="298"/>
      <c r="AG320" s="298">
        <v>0.376</v>
      </c>
      <c r="AH320" s="298"/>
      <c r="AI320" s="298"/>
      <c r="AJ320" s="298">
        <f t="shared" si="97"/>
        <v>0</v>
      </c>
      <c r="AK320" s="298"/>
      <c r="AL320" s="298"/>
      <c r="AM320" s="301"/>
      <c r="AN320" s="301">
        <f t="shared" si="95"/>
        <v>0.376</v>
      </c>
      <c r="AP320" s="301"/>
      <c r="AQ320" s="301"/>
      <c r="AR320" s="301"/>
      <c r="AS320" s="301"/>
      <c r="AT320" s="301"/>
      <c r="AU320" s="301"/>
      <c r="AV320" s="301"/>
      <c r="AW320" s="301"/>
      <c r="AX320" s="301"/>
      <c r="AY320" s="301"/>
      <c r="AZ320" s="301"/>
      <c r="BA320" s="301"/>
      <c r="BB320" s="301"/>
      <c r="BC320" s="301"/>
      <c r="BD320" s="301"/>
    </row>
    <row r="321" spans="3:56" ht="12.75">
      <c r="C321" s="155" t="s">
        <v>261</v>
      </c>
      <c r="D321" s="203"/>
      <c r="E321" s="149"/>
      <c r="F321" s="150">
        <v>0.09</v>
      </c>
      <c r="G321" s="150"/>
      <c r="H321" s="123"/>
      <c r="I321" s="151"/>
      <c r="J321" s="152"/>
      <c r="K321" s="153"/>
      <c r="L321" s="200"/>
      <c r="M321" s="153"/>
      <c r="N321" s="153"/>
      <c r="O321" s="153"/>
      <c r="P321" s="153"/>
      <c r="Q321" s="153"/>
      <c r="R321" s="153"/>
      <c r="S321" s="153"/>
      <c r="T321" s="171">
        <f t="shared" si="94"/>
        <v>0</v>
      </c>
      <c r="U321" s="154">
        <v>0.01</v>
      </c>
      <c r="V321" s="236">
        <f t="shared" si="96"/>
        <v>-0.01</v>
      </c>
      <c r="W321" s="153">
        <v>0.09</v>
      </c>
      <c r="X321" s="127"/>
      <c r="Y321" s="128"/>
      <c r="Z321" s="168">
        <f t="shared" si="98"/>
        <v>0.09</v>
      </c>
      <c r="AB321" s="88">
        <f t="shared" si="83"/>
        <v>0</v>
      </c>
      <c r="AD321" s="299"/>
      <c r="AE321" s="299"/>
      <c r="AF321" s="299"/>
      <c r="AG321" s="299">
        <v>0.09</v>
      </c>
      <c r="AH321" s="299"/>
      <c r="AI321" s="299"/>
      <c r="AJ321" s="299">
        <f t="shared" si="97"/>
        <v>0</v>
      </c>
      <c r="AK321" s="299"/>
      <c r="AL321" s="299"/>
      <c r="AM321" s="302"/>
      <c r="AN321" s="302">
        <f t="shared" si="95"/>
        <v>0.09</v>
      </c>
      <c r="AP321" s="302"/>
      <c r="AQ321" s="302"/>
      <c r="AR321" s="302"/>
      <c r="AS321" s="302"/>
      <c r="AT321" s="302"/>
      <c r="AU321" s="302"/>
      <c r="AV321" s="302"/>
      <c r="AW321" s="302"/>
      <c r="AX321" s="302"/>
      <c r="AY321" s="302"/>
      <c r="AZ321" s="302"/>
      <c r="BA321" s="302"/>
      <c r="BB321" s="302"/>
      <c r="BC321" s="302"/>
      <c r="BD321" s="302"/>
    </row>
    <row r="322" spans="3:28" ht="12.75">
      <c r="C322" s="155"/>
      <c r="D322" s="203"/>
      <c r="E322" s="149"/>
      <c r="F322" s="150"/>
      <c r="G322" s="150"/>
      <c r="H322" s="123"/>
      <c r="I322" s="151"/>
      <c r="J322" s="152"/>
      <c r="K322" s="153"/>
      <c r="L322" s="200"/>
      <c r="M322" s="153"/>
      <c r="N322" s="153"/>
      <c r="O322" s="153"/>
      <c r="P322" s="153"/>
      <c r="Q322" s="127"/>
      <c r="R322" s="127"/>
      <c r="S322" s="127"/>
      <c r="T322" s="152"/>
      <c r="U322" s="153"/>
      <c r="V322" s="231"/>
      <c r="W322" s="127"/>
      <c r="X322" s="127"/>
      <c r="Y322" s="128"/>
      <c r="Z322" s="168"/>
      <c r="AB322" s="88">
        <f t="shared" si="83"/>
        <v>0</v>
      </c>
    </row>
    <row r="323" spans="3:56" ht="12.75">
      <c r="C323" s="163" t="s">
        <v>116</v>
      </c>
      <c r="D323" s="255"/>
      <c r="E323" s="164"/>
      <c r="F323" s="165">
        <f>SUM(F304:F321)</f>
        <v>4.854</v>
      </c>
      <c r="G323" s="165"/>
      <c r="H323" s="123"/>
      <c r="I323" s="166"/>
      <c r="J323" s="167">
        <f aca="true" t="shared" si="99" ref="J323:O323">SUM(J304:J321)</f>
        <v>0.254</v>
      </c>
      <c r="K323" s="154">
        <f t="shared" si="99"/>
        <v>0.26600000000000007</v>
      </c>
      <c r="L323" s="221">
        <f t="shared" si="99"/>
        <v>0.35600000000000004</v>
      </c>
      <c r="M323" s="154">
        <f t="shared" si="99"/>
        <v>0.35600000000000004</v>
      </c>
      <c r="N323" s="131">
        <f t="shared" si="99"/>
        <v>0.643</v>
      </c>
      <c r="O323" s="131">
        <f t="shared" si="99"/>
        <v>0.386</v>
      </c>
      <c r="P323" s="131">
        <f>SUM(P304:P321)</f>
        <v>0.503</v>
      </c>
      <c r="Q323" s="131">
        <f>SUM(Q304:Q321)</f>
        <v>0.28300000000000003</v>
      </c>
      <c r="R323" s="131">
        <f>SUM(R304:R321)</f>
        <v>0.254</v>
      </c>
      <c r="S323" s="131">
        <f>SUM(S304:S321)</f>
        <v>0.254</v>
      </c>
      <c r="T323" s="167">
        <f>SUM(T309:T322)</f>
        <v>3.5550000000000006</v>
      </c>
      <c r="U323" s="154">
        <f>SUM(U309:U322)</f>
        <v>2.3689999999999998</v>
      </c>
      <c r="V323" s="232">
        <f>SUM(V309:V322)</f>
        <v>1.1860000000000004</v>
      </c>
      <c r="W323" s="131">
        <f>SUM(W304:W321)</f>
        <v>0.44600000000000006</v>
      </c>
      <c r="X323" s="131">
        <f>SUM(X304:X321)</f>
        <v>0.7920000000000001</v>
      </c>
      <c r="Y323" s="128"/>
      <c r="Z323" s="168">
        <f>SUM(Z304:Z321)</f>
        <v>4.854</v>
      </c>
      <c r="AB323" s="88">
        <f t="shared" si="83"/>
        <v>0</v>
      </c>
      <c r="AD323" s="170">
        <f>SUM(AD305:AD321)</f>
        <v>0</v>
      </c>
      <c r="AE323" s="170">
        <f aca="true" t="shared" si="100" ref="AE323:BD323">SUM(AE305:AE321)</f>
        <v>0</v>
      </c>
      <c r="AF323" s="170">
        <f t="shared" si="100"/>
        <v>0</v>
      </c>
      <c r="AG323" s="170">
        <f>SUM(AG305:AG321)</f>
        <v>4.715</v>
      </c>
      <c r="AH323" s="170">
        <f t="shared" si="100"/>
        <v>0</v>
      </c>
      <c r="AI323" s="170">
        <f t="shared" si="100"/>
        <v>0</v>
      </c>
      <c r="AJ323" s="170">
        <f t="shared" si="100"/>
        <v>0.139</v>
      </c>
      <c r="AK323" s="170">
        <f t="shared" si="100"/>
        <v>0</v>
      </c>
      <c r="AL323" s="170">
        <f t="shared" si="100"/>
        <v>0</v>
      </c>
      <c r="AM323" s="170">
        <f t="shared" si="100"/>
        <v>0</v>
      </c>
      <c r="AN323" s="170">
        <f t="shared" si="100"/>
        <v>4.854</v>
      </c>
      <c r="AP323" s="170">
        <f t="shared" si="100"/>
        <v>0</v>
      </c>
      <c r="AQ323" s="170">
        <f t="shared" si="100"/>
        <v>0</v>
      </c>
      <c r="AR323" s="170">
        <f t="shared" si="100"/>
        <v>0</v>
      </c>
      <c r="AS323" s="170">
        <f t="shared" si="100"/>
        <v>0</v>
      </c>
      <c r="AT323" s="170">
        <f t="shared" si="100"/>
        <v>0</v>
      </c>
      <c r="AU323" s="170">
        <f t="shared" si="100"/>
        <v>0</v>
      </c>
      <c r="AV323" s="170">
        <f t="shared" si="100"/>
        <v>0</v>
      </c>
      <c r="AW323" s="170">
        <f t="shared" si="100"/>
        <v>0</v>
      </c>
      <c r="AX323" s="170">
        <f t="shared" si="100"/>
        <v>0</v>
      </c>
      <c r="AY323" s="170">
        <f t="shared" si="100"/>
        <v>0</v>
      </c>
      <c r="AZ323" s="170">
        <f t="shared" si="100"/>
        <v>0</v>
      </c>
      <c r="BA323" s="170">
        <f t="shared" si="100"/>
        <v>0.139</v>
      </c>
      <c r="BB323" s="170">
        <f t="shared" si="100"/>
        <v>0</v>
      </c>
      <c r="BC323" s="170">
        <f t="shared" si="100"/>
        <v>0</v>
      </c>
      <c r="BD323" s="170">
        <f t="shared" si="100"/>
        <v>0</v>
      </c>
    </row>
    <row r="324" spans="3:28" ht="13.5" thickBot="1">
      <c r="C324" s="163"/>
      <c r="D324" s="255"/>
      <c r="E324" s="176"/>
      <c r="F324" s="177"/>
      <c r="G324" s="177"/>
      <c r="H324" s="134"/>
      <c r="I324" s="178"/>
      <c r="J324" s="179"/>
      <c r="K324" s="158"/>
      <c r="L324" s="222"/>
      <c r="M324" s="158"/>
      <c r="N324" s="158"/>
      <c r="O324" s="158"/>
      <c r="P324" s="158"/>
      <c r="Q324" s="139"/>
      <c r="R324" s="139"/>
      <c r="S324" s="139"/>
      <c r="T324" s="179"/>
      <c r="U324" s="158"/>
      <c r="V324" s="233"/>
      <c r="W324" s="139"/>
      <c r="X324" s="139"/>
      <c r="Y324" s="140"/>
      <c r="Z324" s="243"/>
      <c r="AB324" s="88">
        <f t="shared" si="83"/>
        <v>0</v>
      </c>
    </row>
    <row r="325" spans="3:28" ht="7.5" customHeight="1">
      <c r="C325" s="155"/>
      <c r="D325" s="203"/>
      <c r="E325" s="180"/>
      <c r="F325" s="181"/>
      <c r="G325" s="181"/>
      <c r="H325" s="103"/>
      <c r="I325" s="182"/>
      <c r="J325" s="183"/>
      <c r="K325" s="184"/>
      <c r="L325" s="223"/>
      <c r="M325" s="184"/>
      <c r="N325" s="184"/>
      <c r="O325" s="184"/>
      <c r="P325" s="184"/>
      <c r="Q325" s="185"/>
      <c r="R325" s="185"/>
      <c r="S325" s="185"/>
      <c r="T325" s="183"/>
      <c r="U325" s="184"/>
      <c r="V325" s="234"/>
      <c r="W325" s="185"/>
      <c r="X325" s="185"/>
      <c r="Y325" s="186"/>
      <c r="Z325" s="244"/>
      <c r="AB325" s="88">
        <f t="shared" si="83"/>
        <v>0</v>
      </c>
    </row>
    <row r="326" spans="3:57" ht="18.75" thickBot="1">
      <c r="C326" s="187" t="s">
        <v>125</v>
      </c>
      <c r="D326" s="259"/>
      <c r="E326" s="188"/>
      <c r="F326" s="189">
        <f>+F81+F113+F205+F234+F246+F266+F283+F302+F323</f>
        <v>82.012</v>
      </c>
      <c r="G326" s="189"/>
      <c r="H326" s="190"/>
      <c r="I326" s="191"/>
      <c r="J326" s="192">
        <f aca="true" t="shared" si="101" ref="J326:X326">+J81+J113+J205+J234+J246+J266+J283+J302+J323</f>
        <v>4.569000000000001</v>
      </c>
      <c r="K326" s="193">
        <f t="shared" si="101"/>
        <v>3.9450000000000003</v>
      </c>
      <c r="L326" s="224">
        <f t="shared" si="101"/>
        <v>4.871999999999999</v>
      </c>
      <c r="M326" s="193">
        <f t="shared" si="101"/>
        <v>4.861</v>
      </c>
      <c r="N326" s="193">
        <f t="shared" si="101"/>
        <v>4.9959999999999996</v>
      </c>
      <c r="O326" s="193">
        <f t="shared" si="101"/>
        <v>6.132999999999999</v>
      </c>
      <c r="P326" s="193">
        <f t="shared" si="101"/>
        <v>5.718</v>
      </c>
      <c r="Q326" s="194">
        <f t="shared" si="101"/>
        <v>5.812000000000001</v>
      </c>
      <c r="R326" s="194">
        <f t="shared" si="101"/>
        <v>5.755000000000001</v>
      </c>
      <c r="S326" s="194">
        <f t="shared" si="101"/>
        <v>10.403</v>
      </c>
      <c r="T326" s="192">
        <f t="shared" si="101"/>
        <v>56.900999999999996</v>
      </c>
      <c r="U326" s="213">
        <f t="shared" si="101"/>
        <v>40.539</v>
      </c>
      <c r="V326" s="235">
        <f t="shared" si="101"/>
        <v>16.362000000000002</v>
      </c>
      <c r="W326" s="194">
        <f t="shared" si="101"/>
        <v>11.979999999999999</v>
      </c>
      <c r="X326" s="194">
        <f t="shared" si="101"/>
        <v>14.008000000000003</v>
      </c>
      <c r="Y326" s="195"/>
      <c r="Z326" s="189">
        <f>+Z81+Z113+Z205+Z234+Z246+Z266+Z283+Z302+Z323</f>
        <v>82.012</v>
      </c>
      <c r="AA326" s="250"/>
      <c r="AB326" s="88">
        <f t="shared" si="83"/>
        <v>0</v>
      </c>
      <c r="AD326" s="285">
        <f aca="true" t="shared" si="102" ref="AD326:AN326">+AD81+AD113+AD205+AD234+AD246+AD266+AD283+AD302+AD323</f>
        <v>9.356</v>
      </c>
      <c r="AE326" s="285">
        <f t="shared" si="102"/>
        <v>8.465</v>
      </c>
      <c r="AF326" s="285">
        <f t="shared" si="102"/>
        <v>0.316</v>
      </c>
      <c r="AG326" s="285">
        <f t="shared" si="102"/>
        <v>8.817</v>
      </c>
      <c r="AH326" s="285">
        <f t="shared" si="102"/>
        <v>15.946</v>
      </c>
      <c r="AI326" s="285">
        <f t="shared" si="102"/>
        <v>5.033</v>
      </c>
      <c r="AJ326" s="285">
        <f t="shared" si="102"/>
        <v>33.704</v>
      </c>
      <c r="AK326" s="285">
        <f t="shared" si="102"/>
        <v>0.20500000000000002</v>
      </c>
      <c r="AL326" s="285">
        <f t="shared" si="102"/>
        <v>0.003</v>
      </c>
      <c r="AM326" s="285">
        <f t="shared" si="102"/>
        <v>0.167</v>
      </c>
      <c r="AN326" s="285">
        <f t="shared" si="102"/>
        <v>82.01199999999999</v>
      </c>
      <c r="AO326" s="311" t="s">
        <v>548</v>
      </c>
      <c r="AP326" s="285">
        <f aca="true" t="shared" si="103" ref="AP326:BD326">+AP81+AP113+AP205+AP234+AP246+AP266+AP283+AP302+AP323</f>
        <v>6.18</v>
      </c>
      <c r="AQ326" s="285">
        <f t="shared" si="103"/>
        <v>3.7279999999999998</v>
      </c>
      <c r="AR326" s="285">
        <f t="shared" si="103"/>
        <v>0.09899999999999999</v>
      </c>
      <c r="AS326" s="285">
        <f t="shared" si="103"/>
        <v>0.446</v>
      </c>
      <c r="AT326" s="285">
        <f t="shared" si="103"/>
        <v>2.2680000000000002</v>
      </c>
      <c r="AU326" s="285">
        <f t="shared" si="103"/>
        <v>0.304</v>
      </c>
      <c r="AV326" s="285">
        <f t="shared" si="103"/>
        <v>0.75</v>
      </c>
      <c r="AW326" s="285">
        <f t="shared" si="103"/>
        <v>0.798</v>
      </c>
      <c r="AX326" s="285">
        <f t="shared" si="103"/>
        <v>2.326</v>
      </c>
      <c r="AY326" s="285">
        <f t="shared" si="103"/>
        <v>2.943</v>
      </c>
      <c r="AZ326" s="285">
        <f t="shared" si="103"/>
        <v>2.088</v>
      </c>
      <c r="BA326" s="285">
        <f t="shared" si="103"/>
        <v>2.1820000000000004</v>
      </c>
      <c r="BB326" s="285">
        <f t="shared" si="103"/>
        <v>8.035</v>
      </c>
      <c r="BC326" s="285">
        <f t="shared" si="103"/>
        <v>0.32</v>
      </c>
      <c r="BD326" s="285">
        <f t="shared" si="103"/>
        <v>1.2369999999999999</v>
      </c>
      <c r="BE326" s="98">
        <f>SUM(AP326:BD326)</f>
        <v>33.70400000000001</v>
      </c>
    </row>
    <row r="327" ht="12.75">
      <c r="T327" s="288"/>
    </row>
    <row r="328" spans="36:41" ht="12.75">
      <c r="AJ328" s="88">
        <f>SUM(AP328:BD328)</f>
        <v>0</v>
      </c>
      <c r="AO328" s="98" t="s">
        <v>549</v>
      </c>
    </row>
    <row r="329" spans="36:41" ht="12.75">
      <c r="AJ329" s="88">
        <f aca="true" t="shared" si="104" ref="AJ329:AJ344">SUM(AP329:BD329)</f>
        <v>0</v>
      </c>
      <c r="AK329" s="88">
        <v>0.245</v>
      </c>
      <c r="AO329" s="98" t="s">
        <v>550</v>
      </c>
    </row>
    <row r="330" spans="36:41" ht="12.75">
      <c r="AJ330" s="88">
        <f t="shared" si="104"/>
        <v>0</v>
      </c>
      <c r="AM330" s="98">
        <v>0.008</v>
      </c>
      <c r="AO330" s="98" t="s">
        <v>551</v>
      </c>
    </row>
    <row r="331" spans="10:41" ht="12.75">
      <c r="J331" s="93" t="s">
        <v>496</v>
      </c>
      <c r="AE331" s="88" t="s">
        <v>558</v>
      </c>
      <c r="AJ331" s="88">
        <f t="shared" si="104"/>
        <v>0</v>
      </c>
      <c r="AM331" s="98">
        <v>0.436</v>
      </c>
      <c r="AO331" s="98" t="s">
        <v>552</v>
      </c>
    </row>
    <row r="332" spans="36:44" ht="12.75">
      <c r="AJ332" s="88">
        <f t="shared" si="104"/>
        <v>0.091</v>
      </c>
      <c r="AO332" s="98" t="s">
        <v>559</v>
      </c>
      <c r="AR332" s="98">
        <v>0.091</v>
      </c>
    </row>
    <row r="333" spans="36:49" ht="12.75">
      <c r="AJ333" s="88">
        <f t="shared" si="104"/>
        <v>0.052</v>
      </c>
      <c r="AO333" s="98" t="s">
        <v>560</v>
      </c>
      <c r="AW333" s="98">
        <v>0.052</v>
      </c>
    </row>
    <row r="334" spans="36:50" ht="12.75">
      <c r="AJ334" s="88">
        <f t="shared" si="104"/>
        <v>0.535</v>
      </c>
      <c r="AO334" s="98" t="s">
        <v>561</v>
      </c>
      <c r="AX334" s="98">
        <v>0.535</v>
      </c>
    </row>
    <row r="335" spans="36:53" ht="12.75">
      <c r="AJ335" s="88">
        <f t="shared" si="104"/>
        <v>0.785</v>
      </c>
      <c r="AO335" s="98" t="s">
        <v>562</v>
      </c>
      <c r="BA335" s="98">
        <v>0.785</v>
      </c>
    </row>
    <row r="336" spans="36:54" ht="12.75">
      <c r="AJ336" s="88">
        <f t="shared" si="104"/>
        <v>0.1</v>
      </c>
      <c r="AO336" s="98" t="s">
        <v>563</v>
      </c>
      <c r="BB336" s="98">
        <v>0.1</v>
      </c>
    </row>
    <row r="337" spans="36:55" ht="12.75">
      <c r="AJ337" s="88">
        <f t="shared" si="104"/>
        <v>0.09</v>
      </c>
      <c r="AO337" s="98" t="s">
        <v>564</v>
      </c>
      <c r="BC337" s="98">
        <v>0.09</v>
      </c>
    </row>
    <row r="338" spans="36:56" ht="12.75">
      <c r="AJ338" s="88">
        <f t="shared" si="104"/>
        <v>0.08</v>
      </c>
      <c r="AO338" s="98" t="s">
        <v>553</v>
      </c>
      <c r="BD338" s="98">
        <v>0.08</v>
      </c>
    </row>
    <row r="339" spans="36:56" ht="12.75">
      <c r="AJ339" s="88">
        <f t="shared" si="104"/>
        <v>0.016</v>
      </c>
      <c r="AO339" s="98" t="s">
        <v>388</v>
      </c>
      <c r="BD339" s="98">
        <v>0.016</v>
      </c>
    </row>
    <row r="340" spans="36:56" ht="12.75">
      <c r="AJ340" s="88">
        <f t="shared" si="104"/>
        <v>0.206</v>
      </c>
      <c r="AO340" s="98" t="s">
        <v>554</v>
      </c>
      <c r="BD340" s="98">
        <v>0.206</v>
      </c>
    </row>
    <row r="341" spans="36:56" ht="12.75">
      <c r="AJ341" s="88">
        <f t="shared" si="104"/>
        <v>0.064</v>
      </c>
      <c r="AO341" s="98" t="s">
        <v>391</v>
      </c>
      <c r="BD341" s="98">
        <v>0.064</v>
      </c>
    </row>
    <row r="342" spans="36:56" ht="12.75">
      <c r="AJ342" s="88">
        <f t="shared" si="104"/>
        <v>0.146</v>
      </c>
      <c r="AO342" s="98" t="s">
        <v>555</v>
      </c>
      <c r="BD342" s="98">
        <v>0.146</v>
      </c>
    </row>
    <row r="343" spans="36:56" ht="12.75">
      <c r="AJ343" s="88">
        <f t="shared" si="104"/>
        <v>0.023</v>
      </c>
      <c r="AO343" s="98" t="s">
        <v>556</v>
      </c>
      <c r="BD343" s="98">
        <v>0.023</v>
      </c>
    </row>
    <row r="344" spans="30:56" ht="13.5" thickBot="1">
      <c r="AD344" s="195"/>
      <c r="AE344" s="195"/>
      <c r="AF344" s="195"/>
      <c r="AG344" s="195"/>
      <c r="AH344" s="195"/>
      <c r="AI344" s="195"/>
      <c r="AJ344" s="88">
        <f t="shared" si="104"/>
        <v>0.025</v>
      </c>
      <c r="AK344" s="195"/>
      <c r="AL344" s="195"/>
      <c r="AM344" s="312"/>
      <c r="AN344" s="312"/>
      <c r="AO344" s="312" t="s">
        <v>557</v>
      </c>
      <c r="AP344" s="312"/>
      <c r="AQ344" s="312"/>
      <c r="AR344" s="312"/>
      <c r="AS344" s="312"/>
      <c r="AT344" s="312"/>
      <c r="AU344" s="312"/>
      <c r="AV344" s="312"/>
      <c r="AW344" s="312"/>
      <c r="AX344" s="312"/>
      <c r="AY344" s="312"/>
      <c r="AZ344" s="312"/>
      <c r="BA344" s="312"/>
      <c r="BB344" s="312"/>
      <c r="BC344" s="312"/>
      <c r="BD344" s="312">
        <v>0.025</v>
      </c>
    </row>
    <row r="345" spans="30:56" ht="12.75">
      <c r="AD345" s="88">
        <f>SUM(AD328:AD344)</f>
        <v>0</v>
      </c>
      <c r="AE345" s="88">
        <f aca="true" t="shared" si="105" ref="AE345:AN345">SUM(AE328:AE344)</f>
        <v>0</v>
      </c>
      <c r="AF345" s="88">
        <f t="shared" si="105"/>
        <v>0</v>
      </c>
      <c r="AG345" s="88">
        <f t="shared" si="105"/>
        <v>0</v>
      </c>
      <c r="AH345" s="88">
        <f t="shared" si="105"/>
        <v>0</v>
      </c>
      <c r="AI345" s="88">
        <f t="shared" si="105"/>
        <v>0</v>
      </c>
      <c r="AJ345" s="88">
        <f t="shared" si="105"/>
        <v>2.213</v>
      </c>
      <c r="AK345" s="88">
        <f t="shared" si="105"/>
        <v>0.245</v>
      </c>
      <c r="AL345" s="88">
        <f t="shared" si="105"/>
        <v>0</v>
      </c>
      <c r="AM345" s="88">
        <f t="shared" si="105"/>
        <v>0.444</v>
      </c>
      <c r="AN345" s="88">
        <f t="shared" si="105"/>
        <v>0</v>
      </c>
      <c r="AP345" s="98">
        <f>SUM(AP328:AP344)</f>
        <v>0</v>
      </c>
      <c r="AQ345" s="98">
        <f aca="true" t="shared" si="106" ref="AQ345:BD345">SUM(AQ328:AQ344)</f>
        <v>0</v>
      </c>
      <c r="AR345" s="98">
        <f t="shared" si="106"/>
        <v>0.091</v>
      </c>
      <c r="AS345" s="98">
        <f t="shared" si="106"/>
        <v>0</v>
      </c>
      <c r="AT345" s="98">
        <f t="shared" si="106"/>
        <v>0</v>
      </c>
      <c r="AU345" s="98">
        <f t="shared" si="106"/>
        <v>0</v>
      </c>
      <c r="AV345" s="98">
        <f t="shared" si="106"/>
        <v>0</v>
      </c>
      <c r="AW345" s="98">
        <f t="shared" si="106"/>
        <v>0.052</v>
      </c>
      <c r="AX345" s="98">
        <f t="shared" si="106"/>
        <v>0.535</v>
      </c>
      <c r="AY345" s="98">
        <f t="shared" si="106"/>
        <v>0</v>
      </c>
      <c r="AZ345" s="98">
        <f t="shared" si="106"/>
        <v>0</v>
      </c>
      <c r="BA345" s="98">
        <f t="shared" si="106"/>
        <v>0.785</v>
      </c>
      <c r="BB345" s="98">
        <f t="shared" si="106"/>
        <v>0.1</v>
      </c>
      <c r="BC345" s="98">
        <f t="shared" si="106"/>
        <v>0.09</v>
      </c>
      <c r="BD345" s="98">
        <f t="shared" si="106"/>
        <v>0.56</v>
      </c>
    </row>
    <row r="346" spans="39:56" ht="12.75"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</row>
    <row r="347" spans="30:56" ht="12.75">
      <c r="AD347" s="170">
        <f>AD345+AD326</f>
        <v>9.356</v>
      </c>
      <c r="AE347" s="170">
        <f aca="true" t="shared" si="107" ref="AE347:BD347">AE345+AE326</f>
        <v>8.465</v>
      </c>
      <c r="AF347" s="170">
        <f t="shared" si="107"/>
        <v>0.316</v>
      </c>
      <c r="AG347" s="170">
        <f t="shared" si="107"/>
        <v>8.817</v>
      </c>
      <c r="AH347" s="170">
        <f t="shared" si="107"/>
        <v>15.946</v>
      </c>
      <c r="AI347" s="170">
        <f t="shared" si="107"/>
        <v>5.033</v>
      </c>
      <c r="AJ347" s="170">
        <f t="shared" si="107"/>
        <v>35.917</v>
      </c>
      <c r="AK347" s="170">
        <f t="shared" si="107"/>
        <v>0.45</v>
      </c>
      <c r="AL347" s="170">
        <f t="shared" si="107"/>
        <v>0.003</v>
      </c>
      <c r="AM347" s="170">
        <f t="shared" si="107"/>
        <v>0.611</v>
      </c>
      <c r="AN347" s="170">
        <f>SUM(AD347:AM347)</f>
        <v>84.914</v>
      </c>
      <c r="AP347" s="170">
        <f t="shared" si="107"/>
        <v>6.18</v>
      </c>
      <c r="AQ347" s="170">
        <f t="shared" si="107"/>
        <v>3.7279999999999998</v>
      </c>
      <c r="AR347" s="170">
        <f t="shared" si="107"/>
        <v>0.19</v>
      </c>
      <c r="AS347" s="170">
        <f t="shared" si="107"/>
        <v>0.446</v>
      </c>
      <c r="AT347" s="170">
        <f t="shared" si="107"/>
        <v>2.2680000000000002</v>
      </c>
      <c r="AU347" s="170">
        <f t="shared" si="107"/>
        <v>0.304</v>
      </c>
      <c r="AV347" s="170">
        <f t="shared" si="107"/>
        <v>0.75</v>
      </c>
      <c r="AW347" s="170">
        <f t="shared" si="107"/>
        <v>0.8500000000000001</v>
      </c>
      <c r="AX347" s="170">
        <f t="shared" si="107"/>
        <v>2.861</v>
      </c>
      <c r="AY347" s="170">
        <f t="shared" si="107"/>
        <v>2.943</v>
      </c>
      <c r="AZ347" s="170">
        <f t="shared" si="107"/>
        <v>2.088</v>
      </c>
      <c r="BA347" s="170">
        <f t="shared" si="107"/>
        <v>2.9670000000000005</v>
      </c>
      <c r="BB347" s="170">
        <f t="shared" si="107"/>
        <v>8.135</v>
      </c>
      <c r="BC347" s="170">
        <f t="shared" si="107"/>
        <v>0.41000000000000003</v>
      </c>
      <c r="BD347" s="170">
        <f t="shared" si="107"/>
        <v>1.797</v>
      </c>
    </row>
    <row r="348" spans="30:33" ht="12.75">
      <c r="AD348" s="88">
        <f>-1.517+0.257</f>
        <v>-1.2599999999999998</v>
      </c>
      <c r="AG348" s="88">
        <f>-AD348</f>
        <v>1.2599999999999998</v>
      </c>
    </row>
    <row r="349" spans="30:33" ht="12.75">
      <c r="AD349" s="170">
        <f>SUM(AD347:AD348)</f>
        <v>8.096</v>
      </c>
      <c r="AE349" s="170"/>
      <c r="AF349" s="170"/>
      <c r="AG349" s="170">
        <f>SUM(AG347:AG348)</f>
        <v>10.077</v>
      </c>
    </row>
    <row r="350" spans="30:40" ht="12.75">
      <c r="AD350" s="88" t="s">
        <v>496</v>
      </c>
      <c r="AN350" s="98">
        <f>AN347-AG347+'Appendix 2'!O67-1.517</f>
        <v>83.99200000000002</v>
      </c>
    </row>
    <row r="353" spans="31:36" ht="12.75">
      <c r="AE353" s="88" t="s">
        <v>574</v>
      </c>
      <c r="AG353" s="88">
        <f>'Appendix 2'!O67</f>
        <v>9.411999999999999</v>
      </c>
      <c r="AI353" s="88" t="s">
        <v>575</v>
      </c>
      <c r="AJ353" s="88">
        <f>'Appendix 2'!O93</f>
        <v>84.231</v>
      </c>
    </row>
    <row r="354" spans="31:36" ht="12.75">
      <c r="AE354" s="88" t="s">
        <v>573</v>
      </c>
      <c r="AG354" s="88">
        <f>SUM(AD345:AM346)</f>
        <v>2.902</v>
      </c>
      <c r="AI354" s="88" t="s">
        <v>576</v>
      </c>
      <c r="AJ354" s="88">
        <f>AN326</f>
        <v>82.01199999999999</v>
      </c>
    </row>
    <row r="355" ht="12.75">
      <c r="AG355" s="170">
        <f>SUM(AG353:AG354)</f>
        <v>12.314</v>
      </c>
    </row>
    <row r="356" spans="31:36" ht="12.75">
      <c r="AE356" s="313" t="s">
        <v>572</v>
      </c>
      <c r="AG356" s="88">
        <f>AG355-AG349</f>
        <v>2.237</v>
      </c>
      <c r="AI356" s="313"/>
      <c r="AJ356" s="88">
        <f>AJ353-AJ354</f>
        <v>2.2190000000000083</v>
      </c>
    </row>
    <row r="357" ht="12.75">
      <c r="AJ357" s="88">
        <v>0.019</v>
      </c>
    </row>
    <row r="360" ht="12.75">
      <c r="AJ360" s="88">
        <f>SUM(AJ356:AJ359)</f>
        <v>2.2380000000000084</v>
      </c>
    </row>
    <row r="366" spans="30:40" ht="25.5">
      <c r="AD366" s="294" t="s">
        <v>26</v>
      </c>
      <c r="AE366" s="294" t="s">
        <v>506</v>
      </c>
      <c r="AF366" s="294" t="s">
        <v>507</v>
      </c>
      <c r="AG366" s="295" t="s">
        <v>508</v>
      </c>
      <c r="AH366" s="294" t="s">
        <v>509</v>
      </c>
      <c r="AI366" s="294" t="s">
        <v>510</v>
      </c>
      <c r="AJ366" s="294" t="s">
        <v>511</v>
      </c>
      <c r="AK366" s="294" t="s">
        <v>512</v>
      </c>
      <c r="AL366" s="294" t="s">
        <v>513</v>
      </c>
      <c r="AM366" s="296" t="s">
        <v>514</v>
      </c>
      <c r="AN366" s="296" t="s">
        <v>125</v>
      </c>
    </row>
    <row r="367" spans="29:41" ht="12.75">
      <c r="AC367" s="88" t="s">
        <v>601</v>
      </c>
      <c r="AD367" s="88">
        <f>AD79</f>
        <v>0</v>
      </c>
      <c r="AE367" s="88">
        <f aca="true" t="shared" si="108" ref="AE367:AN367">AE79</f>
        <v>0</v>
      </c>
      <c r="AF367" s="88">
        <f t="shared" si="108"/>
        <v>0</v>
      </c>
      <c r="AG367" s="88">
        <f t="shared" si="108"/>
        <v>0.057</v>
      </c>
      <c r="AH367" s="88">
        <f t="shared" si="108"/>
        <v>15.946</v>
      </c>
      <c r="AI367" s="88">
        <f t="shared" si="108"/>
        <v>5.033</v>
      </c>
      <c r="AJ367" s="88">
        <f t="shared" si="108"/>
        <v>0.23800000000000002</v>
      </c>
      <c r="AK367" s="88">
        <f t="shared" si="108"/>
        <v>0</v>
      </c>
      <c r="AL367" s="88">
        <f t="shared" si="108"/>
        <v>0</v>
      </c>
      <c r="AM367" s="88">
        <f t="shared" si="108"/>
        <v>0.015</v>
      </c>
      <c r="AN367" s="88">
        <f t="shared" si="108"/>
        <v>21.289</v>
      </c>
      <c r="AO367" s="173">
        <f>SUM(AD367:AN367)</f>
        <v>42.578</v>
      </c>
    </row>
    <row r="368" spans="29:41" ht="12.75">
      <c r="AC368" s="88" t="s">
        <v>602</v>
      </c>
      <c r="AD368" s="88">
        <f>AD60</f>
        <v>4.574</v>
      </c>
      <c r="AE368" s="88">
        <f aca="true" t="shared" si="109" ref="AE368:AN368">AE60</f>
        <v>0</v>
      </c>
      <c r="AF368" s="88">
        <f t="shared" si="109"/>
        <v>0</v>
      </c>
      <c r="AG368" s="88">
        <f t="shared" si="109"/>
        <v>0.226</v>
      </c>
      <c r="AH368" s="88">
        <f t="shared" si="109"/>
        <v>0</v>
      </c>
      <c r="AI368" s="88">
        <f t="shared" si="109"/>
        <v>0</v>
      </c>
      <c r="AJ368" s="88">
        <f t="shared" si="109"/>
        <v>12.353000000000002</v>
      </c>
      <c r="AK368" s="88">
        <f t="shared" si="109"/>
        <v>0</v>
      </c>
      <c r="AL368" s="88">
        <f t="shared" si="109"/>
        <v>0</v>
      </c>
      <c r="AM368" s="88">
        <f t="shared" si="109"/>
        <v>0</v>
      </c>
      <c r="AN368" s="88">
        <f t="shared" si="109"/>
        <v>17.153000000000002</v>
      </c>
      <c r="AO368" s="173">
        <f aca="true" t="shared" si="110" ref="AO368:AO376">SUM(AD368:AN368)</f>
        <v>34.306000000000004</v>
      </c>
    </row>
    <row r="369" spans="29:41" ht="12.75">
      <c r="AC369" s="88" t="s">
        <v>603</v>
      </c>
      <c r="AD369" s="88">
        <f>AD113</f>
        <v>0.498</v>
      </c>
      <c r="AE369" s="88">
        <f aca="true" t="shared" si="111" ref="AE369:AN369">AE113</f>
        <v>2.93</v>
      </c>
      <c r="AF369" s="88">
        <f t="shared" si="111"/>
        <v>0</v>
      </c>
      <c r="AG369" s="88">
        <f t="shared" si="111"/>
        <v>2.05</v>
      </c>
      <c r="AH369" s="88">
        <f t="shared" si="111"/>
        <v>0</v>
      </c>
      <c r="AI369" s="88">
        <f t="shared" si="111"/>
        <v>0</v>
      </c>
      <c r="AJ369" s="88">
        <f t="shared" si="111"/>
        <v>8.544999999999998</v>
      </c>
      <c r="AK369" s="88">
        <f t="shared" si="111"/>
        <v>0.20500000000000002</v>
      </c>
      <c r="AL369" s="88">
        <f t="shared" si="111"/>
        <v>0</v>
      </c>
      <c r="AM369" s="88">
        <f t="shared" si="111"/>
        <v>0</v>
      </c>
      <c r="AN369" s="88">
        <f t="shared" si="111"/>
        <v>14.227999999999998</v>
      </c>
      <c r="AO369" s="173">
        <f t="shared" si="110"/>
        <v>28.455999999999996</v>
      </c>
    </row>
    <row r="370" spans="29:41" ht="12.75">
      <c r="AC370" s="88" t="s">
        <v>604</v>
      </c>
      <c r="AD370" s="88">
        <f>AD205</f>
        <v>4.137</v>
      </c>
      <c r="AE370" s="88">
        <f aca="true" t="shared" si="112" ref="AE370:AN370">AE205</f>
        <v>5.335</v>
      </c>
      <c r="AF370" s="88">
        <f t="shared" si="112"/>
        <v>0</v>
      </c>
      <c r="AG370" s="88">
        <f t="shared" si="112"/>
        <v>0.016</v>
      </c>
      <c r="AH370" s="88">
        <f t="shared" si="112"/>
        <v>0</v>
      </c>
      <c r="AI370" s="88">
        <f t="shared" si="112"/>
        <v>0</v>
      </c>
      <c r="AJ370" s="88">
        <f t="shared" si="112"/>
        <v>6.18</v>
      </c>
      <c r="AK370" s="88">
        <f t="shared" si="112"/>
        <v>0</v>
      </c>
      <c r="AL370" s="88">
        <f t="shared" si="112"/>
        <v>0</v>
      </c>
      <c r="AM370" s="88">
        <f t="shared" si="112"/>
        <v>0</v>
      </c>
      <c r="AN370" s="88">
        <f t="shared" si="112"/>
        <v>15.668</v>
      </c>
      <c r="AO370" s="173">
        <f t="shared" si="110"/>
        <v>31.336</v>
      </c>
    </row>
    <row r="371" spans="29:41" ht="12.75">
      <c r="AC371" s="88" t="s">
        <v>605</v>
      </c>
      <c r="AD371" s="88">
        <f>AD234</f>
        <v>0.147</v>
      </c>
      <c r="AE371" s="88">
        <f aca="true" t="shared" si="113" ref="AE371:AN371">AE234</f>
        <v>0.189</v>
      </c>
      <c r="AF371" s="88">
        <f t="shared" si="113"/>
        <v>0.226</v>
      </c>
      <c r="AG371" s="88">
        <f t="shared" si="113"/>
        <v>0.079</v>
      </c>
      <c r="AH371" s="88">
        <f t="shared" si="113"/>
        <v>0</v>
      </c>
      <c r="AI371" s="88">
        <f t="shared" si="113"/>
        <v>0</v>
      </c>
      <c r="AJ371" s="88">
        <f t="shared" si="113"/>
        <v>0.376</v>
      </c>
      <c r="AK371" s="88">
        <f t="shared" si="113"/>
        <v>0</v>
      </c>
      <c r="AL371" s="88">
        <f t="shared" si="113"/>
        <v>0</v>
      </c>
      <c r="AM371" s="88">
        <f t="shared" si="113"/>
        <v>0.11000000000000001</v>
      </c>
      <c r="AN371" s="88">
        <f t="shared" si="113"/>
        <v>1.1269999999999996</v>
      </c>
      <c r="AO371" s="173">
        <f t="shared" si="110"/>
        <v>2.2539999999999996</v>
      </c>
    </row>
    <row r="372" spans="29:41" ht="12.75">
      <c r="AC372" s="88" t="s">
        <v>606</v>
      </c>
      <c r="AD372" s="88">
        <f>AD283</f>
        <v>0</v>
      </c>
      <c r="AE372" s="88">
        <f aca="true" t="shared" si="114" ref="AE372:AN372">AE283</f>
        <v>0</v>
      </c>
      <c r="AF372" s="88">
        <f t="shared" si="114"/>
        <v>0.033</v>
      </c>
      <c r="AG372" s="88">
        <f t="shared" si="114"/>
        <v>0.326</v>
      </c>
      <c r="AH372" s="88">
        <f t="shared" si="114"/>
        <v>0</v>
      </c>
      <c r="AI372" s="88">
        <f t="shared" si="114"/>
        <v>0</v>
      </c>
      <c r="AJ372" s="88">
        <f t="shared" si="114"/>
        <v>1.9500000000000002</v>
      </c>
      <c r="AK372" s="88">
        <f t="shared" si="114"/>
        <v>0</v>
      </c>
      <c r="AL372" s="88">
        <f t="shared" si="114"/>
        <v>0</v>
      </c>
      <c r="AM372" s="88">
        <f t="shared" si="114"/>
        <v>0</v>
      </c>
      <c r="AN372" s="88">
        <f t="shared" si="114"/>
        <v>2.3089999999999997</v>
      </c>
      <c r="AO372" s="173">
        <f t="shared" si="110"/>
        <v>4.618</v>
      </c>
    </row>
    <row r="373" spans="29:41" ht="12.75">
      <c r="AC373" s="88" t="s">
        <v>607</v>
      </c>
      <c r="AD373" s="88">
        <f>AD302</f>
        <v>0</v>
      </c>
      <c r="AE373" s="88">
        <f aca="true" t="shared" si="115" ref="AE373:AN373">AE302</f>
        <v>0</v>
      </c>
      <c r="AF373" s="88">
        <f t="shared" si="115"/>
        <v>0.056999999999999995</v>
      </c>
      <c r="AG373" s="88">
        <f t="shared" si="115"/>
        <v>1.016</v>
      </c>
      <c r="AH373" s="88">
        <f t="shared" si="115"/>
        <v>0</v>
      </c>
      <c r="AI373" s="88">
        <f t="shared" si="115"/>
        <v>0</v>
      </c>
      <c r="AJ373" s="88">
        <f t="shared" si="115"/>
        <v>1.583</v>
      </c>
      <c r="AK373" s="88">
        <f t="shared" si="115"/>
        <v>0</v>
      </c>
      <c r="AL373" s="88">
        <f t="shared" si="115"/>
        <v>0</v>
      </c>
      <c r="AM373" s="88">
        <f t="shared" si="115"/>
        <v>0.011</v>
      </c>
      <c r="AN373" s="88">
        <f t="shared" si="115"/>
        <v>2.6670000000000003</v>
      </c>
      <c r="AO373" s="173">
        <f t="shared" si="110"/>
        <v>5.334</v>
      </c>
    </row>
    <row r="374" spans="29:41" ht="12.75">
      <c r="AC374" s="88" t="s">
        <v>608</v>
      </c>
      <c r="AD374" s="88">
        <f>AD323</f>
        <v>0</v>
      </c>
      <c r="AE374" s="88">
        <f aca="true" t="shared" si="116" ref="AE374:AN374">AE323</f>
        <v>0</v>
      </c>
      <c r="AF374" s="88">
        <f t="shared" si="116"/>
        <v>0</v>
      </c>
      <c r="AG374" s="88">
        <f t="shared" si="116"/>
        <v>4.715</v>
      </c>
      <c r="AH374" s="88">
        <f t="shared" si="116"/>
        <v>0</v>
      </c>
      <c r="AI374" s="88">
        <f t="shared" si="116"/>
        <v>0</v>
      </c>
      <c r="AJ374" s="88">
        <f t="shared" si="116"/>
        <v>0.139</v>
      </c>
      <c r="AK374" s="88">
        <f t="shared" si="116"/>
        <v>0</v>
      </c>
      <c r="AL374" s="88">
        <f t="shared" si="116"/>
        <v>0</v>
      </c>
      <c r="AM374" s="88">
        <f t="shared" si="116"/>
        <v>0</v>
      </c>
      <c r="AN374" s="88">
        <f t="shared" si="116"/>
        <v>4.854</v>
      </c>
      <c r="AO374" s="173">
        <f t="shared" si="110"/>
        <v>9.708</v>
      </c>
    </row>
    <row r="375" spans="29:41" ht="12.75">
      <c r="AC375" s="88" t="s">
        <v>609</v>
      </c>
      <c r="AD375" s="88">
        <f>AD246</f>
        <v>0</v>
      </c>
      <c r="AE375" s="88">
        <f aca="true" t="shared" si="117" ref="AE375:AN375">AE246</f>
        <v>0.011</v>
      </c>
      <c r="AF375" s="88">
        <f t="shared" si="117"/>
        <v>0</v>
      </c>
      <c r="AG375" s="88">
        <f t="shared" si="117"/>
        <v>0.20800000000000002</v>
      </c>
      <c r="AH375" s="88">
        <f t="shared" si="117"/>
        <v>0</v>
      </c>
      <c r="AI375" s="88">
        <f t="shared" si="117"/>
        <v>0</v>
      </c>
      <c r="AJ375" s="88">
        <f t="shared" si="117"/>
        <v>0.016</v>
      </c>
      <c r="AK375" s="88">
        <f t="shared" si="117"/>
        <v>0</v>
      </c>
      <c r="AL375" s="88">
        <f t="shared" si="117"/>
        <v>0.003</v>
      </c>
      <c r="AM375" s="88">
        <f t="shared" si="117"/>
        <v>0.012</v>
      </c>
      <c r="AN375" s="88">
        <f t="shared" si="117"/>
        <v>0.25</v>
      </c>
      <c r="AO375" s="173">
        <f t="shared" si="110"/>
        <v>0.5</v>
      </c>
    </row>
    <row r="376" spans="29:41" ht="12.75">
      <c r="AC376" s="88" t="s">
        <v>610</v>
      </c>
      <c r="AD376" s="88">
        <f>AD266</f>
        <v>0</v>
      </c>
      <c r="AE376" s="88">
        <f aca="true" t="shared" si="118" ref="AE376:AN376">AE266</f>
        <v>0</v>
      </c>
      <c r="AF376" s="88">
        <f t="shared" si="118"/>
        <v>0</v>
      </c>
      <c r="AG376" s="88">
        <f t="shared" si="118"/>
        <v>0.124</v>
      </c>
      <c r="AH376" s="88">
        <f t="shared" si="118"/>
        <v>0</v>
      </c>
      <c r="AI376" s="88">
        <f t="shared" si="118"/>
        <v>0</v>
      </c>
      <c r="AJ376" s="88">
        <f t="shared" si="118"/>
        <v>2.3240000000000003</v>
      </c>
      <c r="AK376" s="88">
        <f t="shared" si="118"/>
        <v>0</v>
      </c>
      <c r="AL376" s="88">
        <f t="shared" si="118"/>
        <v>0</v>
      </c>
      <c r="AM376" s="88">
        <f t="shared" si="118"/>
        <v>0.019</v>
      </c>
      <c r="AN376" s="88">
        <f t="shared" si="118"/>
        <v>2.467</v>
      </c>
      <c r="AO376" s="173">
        <f t="shared" si="110"/>
        <v>4.934000000000001</v>
      </c>
    </row>
    <row r="377" spans="30:40" ht="12.75">
      <c r="AD377" s="170">
        <f>SUM(AD367:AD376)</f>
        <v>9.356</v>
      </c>
      <c r="AE377" s="170">
        <f aca="true" t="shared" si="119" ref="AE377:AN377">SUM(AE367:AE376)</f>
        <v>8.465</v>
      </c>
      <c r="AF377" s="170">
        <f t="shared" si="119"/>
        <v>0.316</v>
      </c>
      <c r="AG377" s="170">
        <f t="shared" si="119"/>
        <v>8.817</v>
      </c>
      <c r="AH377" s="170">
        <f t="shared" si="119"/>
        <v>15.946</v>
      </c>
      <c r="AI377" s="170">
        <f t="shared" si="119"/>
        <v>5.033</v>
      </c>
      <c r="AJ377" s="170">
        <f t="shared" si="119"/>
        <v>33.70399999999999</v>
      </c>
      <c r="AK377" s="170">
        <f t="shared" si="119"/>
        <v>0.20500000000000002</v>
      </c>
      <c r="AL377" s="170">
        <f t="shared" si="119"/>
        <v>0.003</v>
      </c>
      <c r="AM377" s="170">
        <f t="shared" si="119"/>
        <v>0.167</v>
      </c>
      <c r="AN377" s="170">
        <f t="shared" si="119"/>
        <v>82.01199999999999</v>
      </c>
    </row>
    <row r="624" spans="3:27" ht="12.75"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</row>
    <row r="625" spans="3:27" ht="12.75"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</row>
    <row r="626" spans="3:27" ht="12.75"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</row>
    <row r="627" spans="3:27" ht="12.75"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</row>
    <row r="628" spans="3:27" ht="12.75"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</row>
  </sheetData>
  <printOptions/>
  <pageMargins left="0.45" right="0" top="0.5905511811023623" bottom="0" header="0.11811023622047245" footer="0"/>
  <pageSetup fitToHeight="6" horizontalDpi="300" verticalDpi="300" orientation="landscape" paperSize="9" scale="70" r:id="rId3"/>
  <headerFooter alignWithMargins="0">
    <oddHeader>&amp;C&amp;"Arial,Bold"&amp;U2003/04 CAPITAL PROGRAMME - Monthly Analysis of Programme&amp;R&amp;"Arial,Bold"&amp;UAppendix 1(b)</oddHeader>
  </headerFooter>
  <rowBreaks count="4" manualBreakCount="4">
    <brk id="60" min="2" max="25" man="1"/>
    <brk id="114" min="2" max="25" man="1"/>
    <brk id="234" min="2" max="25" man="1"/>
    <brk id="283" min="2" max="25" man="1"/>
  </rowBreaks>
  <colBreaks count="2" manualBreakCount="2">
    <brk id="35" max="65535" man="1"/>
    <brk id="4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76">
      <selection activeCell="M106" sqref="M106"/>
    </sheetView>
  </sheetViews>
  <sheetFormatPr defaultColWidth="9.140625" defaultRowHeight="12.75" outlineLevelRow="1"/>
  <cols>
    <col min="1" max="1" width="4.140625" style="9" customWidth="1"/>
    <col min="2" max="2" width="8.8515625" style="9" customWidth="1"/>
    <col min="3" max="3" width="31.7109375" style="9" customWidth="1"/>
    <col min="4" max="4" width="10.00390625" style="5" customWidth="1"/>
    <col min="5" max="5" width="3.28125" style="17" customWidth="1"/>
    <col min="6" max="6" width="1.1484375" style="17" customWidth="1"/>
    <col min="7" max="7" width="10.8515625" style="17" hidden="1" customWidth="1"/>
    <col min="8" max="8" width="4.140625" style="10" hidden="1" customWidth="1"/>
    <col min="9" max="9" width="12.8515625" style="17" hidden="1" customWidth="1"/>
    <col min="10" max="10" width="8.8515625" style="9" customWidth="1"/>
    <col min="11" max="11" width="1.28515625" style="9" customWidth="1"/>
    <col min="12" max="12" width="4.140625" style="9" customWidth="1"/>
    <col min="13" max="13" width="11.28125" style="9" customWidth="1"/>
    <col min="14" max="14" width="3.7109375" style="9" customWidth="1"/>
    <col min="15" max="15" width="9.7109375" style="9" customWidth="1"/>
    <col min="16" max="26" width="4.140625" style="9" customWidth="1"/>
    <col min="27" max="16384" width="4.140625" style="1" customWidth="1"/>
  </cols>
  <sheetData>
    <row r="1" ht="15.75">
      <c r="A1" s="57"/>
    </row>
    <row r="3" spans="3:9" ht="15.75" customHeight="1">
      <c r="C3" s="22" t="s">
        <v>149</v>
      </c>
      <c r="E3" s="61"/>
      <c r="F3" s="61"/>
      <c r="G3" s="61"/>
      <c r="I3" s="61"/>
    </row>
    <row r="4" spans="3:9" ht="9.75" customHeight="1">
      <c r="C4" s="60"/>
      <c r="E4" s="61"/>
      <c r="F4" s="61"/>
      <c r="G4" s="94" t="s">
        <v>132</v>
      </c>
      <c r="H4" s="23"/>
      <c r="I4" s="94"/>
    </row>
    <row r="5" spans="3:9" ht="9" customHeight="1">
      <c r="C5" s="60"/>
      <c r="E5" s="61"/>
      <c r="F5" s="61"/>
      <c r="G5" s="61"/>
      <c r="I5" s="61"/>
    </row>
    <row r="6" spans="3:15" ht="12.75">
      <c r="C6" s="60"/>
      <c r="E6" s="37"/>
      <c r="F6" s="62"/>
      <c r="G6" s="95" t="s">
        <v>133</v>
      </c>
      <c r="H6" s="12"/>
      <c r="I6" s="96" t="s">
        <v>134</v>
      </c>
      <c r="J6" s="37" t="s">
        <v>24</v>
      </c>
      <c r="K6" s="37"/>
      <c r="L6" s="62"/>
      <c r="M6" s="62" t="s">
        <v>64</v>
      </c>
      <c r="O6" s="63" t="s">
        <v>40</v>
      </c>
    </row>
    <row r="7" spans="5:15" ht="12.75">
      <c r="E7" s="37"/>
      <c r="F7" s="37"/>
      <c r="G7" s="96" t="s">
        <v>135</v>
      </c>
      <c r="H7" s="96" t="s">
        <v>135</v>
      </c>
      <c r="I7" s="96" t="s">
        <v>135</v>
      </c>
      <c r="J7" s="37" t="s">
        <v>475</v>
      </c>
      <c r="K7" s="37"/>
      <c r="L7" s="37"/>
      <c r="M7" s="37" t="s">
        <v>47</v>
      </c>
      <c r="O7" s="37" t="s">
        <v>24</v>
      </c>
    </row>
    <row r="8" spans="5:13" ht="12.75">
      <c r="E8" s="9"/>
      <c r="F8" s="37"/>
      <c r="G8" s="37"/>
      <c r="H8" s="9"/>
      <c r="I8" s="9"/>
      <c r="L8" s="37"/>
      <c r="M8" s="37" t="s">
        <v>33</v>
      </c>
    </row>
    <row r="9" spans="5:15" ht="12.75">
      <c r="E9" s="37"/>
      <c r="F9" s="37"/>
      <c r="G9" s="37" t="s">
        <v>41</v>
      </c>
      <c r="H9" s="37" t="s">
        <v>41</v>
      </c>
      <c r="I9" s="37" t="s">
        <v>41</v>
      </c>
      <c r="J9" s="37" t="s">
        <v>41</v>
      </c>
      <c r="K9" s="37"/>
      <c r="L9" s="37"/>
      <c r="M9" s="37" t="s">
        <v>41</v>
      </c>
      <c r="O9" s="37" t="s">
        <v>41</v>
      </c>
    </row>
    <row r="10" spans="2:9" ht="12.75">
      <c r="B10" s="8" t="s">
        <v>25</v>
      </c>
      <c r="E10" s="37"/>
      <c r="F10" s="37"/>
      <c r="G10" s="37"/>
      <c r="I10" s="37"/>
    </row>
    <row r="11" spans="5:9" ht="13.5" customHeight="1">
      <c r="E11" s="37"/>
      <c r="F11" s="37"/>
      <c r="G11" s="37"/>
      <c r="I11" s="37"/>
    </row>
    <row r="12" spans="2:15" ht="12.75" outlineLevel="1">
      <c r="B12" s="9" t="s">
        <v>26</v>
      </c>
      <c r="G12" s="17">
        <v>9.731</v>
      </c>
      <c r="H12" s="48" t="e">
        <f>#REF!+#REF!</f>
        <v>#REF!</v>
      </c>
      <c r="J12" s="17">
        <v>9.731</v>
      </c>
      <c r="K12" s="17"/>
      <c r="L12" s="17"/>
      <c r="M12" s="17"/>
      <c r="N12" s="17"/>
      <c r="O12" s="17">
        <f aca="true" t="shared" si="0" ref="O12:O20">J12+M12</f>
        <v>9.731</v>
      </c>
    </row>
    <row r="13" spans="2:15" ht="12.75" outlineLevel="1">
      <c r="B13" s="9" t="s">
        <v>27</v>
      </c>
      <c r="G13" s="17">
        <v>-1.699</v>
      </c>
      <c r="H13" s="48" t="e">
        <f>#REF!+#REF!</f>
        <v>#REF!</v>
      </c>
      <c r="J13" s="17">
        <v>-2.873</v>
      </c>
      <c r="K13" s="17"/>
      <c r="L13" s="17"/>
      <c r="M13" s="17"/>
      <c r="N13" s="17"/>
      <c r="O13" s="17">
        <f t="shared" si="0"/>
        <v>-2.873</v>
      </c>
    </row>
    <row r="14" spans="2:15" ht="12.75" outlineLevel="1">
      <c r="B14" s="9" t="s">
        <v>473</v>
      </c>
      <c r="H14" s="48"/>
      <c r="J14" s="17">
        <v>0.981</v>
      </c>
      <c r="K14" s="17"/>
      <c r="L14" s="17"/>
      <c r="M14" s="17">
        <v>0.257</v>
      </c>
      <c r="N14" s="17"/>
      <c r="O14" s="17">
        <f t="shared" si="0"/>
        <v>1.238</v>
      </c>
    </row>
    <row r="15" spans="2:15" ht="12.75" outlineLevel="1">
      <c r="B15" s="9" t="s">
        <v>34</v>
      </c>
      <c r="C15" s="9" t="s">
        <v>136</v>
      </c>
      <c r="H15" s="48" t="e">
        <f>#REF!+#REF!</f>
        <v>#REF!</v>
      </c>
      <c r="I15" s="17">
        <v>0.835</v>
      </c>
      <c r="J15" s="17">
        <v>0.835</v>
      </c>
      <c r="K15" s="17"/>
      <c r="L15" s="17"/>
      <c r="M15" s="17"/>
      <c r="N15" s="17"/>
      <c r="O15" s="17">
        <f t="shared" si="0"/>
        <v>0.835</v>
      </c>
    </row>
    <row r="16" spans="3:15" ht="12.75" outlineLevel="1">
      <c r="C16" s="9" t="s">
        <v>137</v>
      </c>
      <c r="H16" s="48"/>
      <c r="I16" s="17">
        <v>9.05</v>
      </c>
      <c r="J16" s="17">
        <v>4.5</v>
      </c>
      <c r="K16" s="17"/>
      <c r="L16" s="17"/>
      <c r="M16" s="17"/>
      <c r="N16" s="17"/>
      <c r="O16" s="17">
        <f t="shared" si="0"/>
        <v>4.5</v>
      </c>
    </row>
    <row r="17" spans="3:15" ht="12.75" outlineLevel="1">
      <c r="C17" s="9" t="s">
        <v>52</v>
      </c>
      <c r="H17" s="48"/>
      <c r="I17" s="17">
        <v>1.55</v>
      </c>
      <c r="J17" s="17">
        <v>2.43</v>
      </c>
      <c r="K17" s="17"/>
      <c r="L17" s="17"/>
      <c r="M17" s="17"/>
      <c r="N17" s="17"/>
      <c r="O17" s="17">
        <f t="shared" si="0"/>
        <v>2.43</v>
      </c>
    </row>
    <row r="18" spans="3:15" ht="12.75" outlineLevel="1">
      <c r="C18" s="9" t="s">
        <v>138</v>
      </c>
      <c r="H18" s="48"/>
      <c r="I18" s="17">
        <v>1.5</v>
      </c>
      <c r="J18" s="17">
        <v>0.5</v>
      </c>
      <c r="K18" s="17"/>
      <c r="L18" s="17"/>
      <c r="M18" s="17"/>
      <c r="N18" s="17"/>
      <c r="O18" s="17">
        <f t="shared" si="0"/>
        <v>0.5</v>
      </c>
    </row>
    <row r="19" spans="3:15" ht="12.75" outlineLevel="1">
      <c r="C19" s="9" t="s">
        <v>153</v>
      </c>
      <c r="H19" s="48"/>
      <c r="J19" s="17">
        <v>0.189</v>
      </c>
      <c r="K19" s="17"/>
      <c r="L19" s="17"/>
      <c r="M19" s="17"/>
      <c r="N19" s="17"/>
      <c r="O19" s="17">
        <f t="shared" si="0"/>
        <v>0.189</v>
      </c>
    </row>
    <row r="20" spans="3:15" ht="12.75" outlineLevel="1">
      <c r="C20" s="9" t="s">
        <v>419</v>
      </c>
      <c r="H20" s="48"/>
      <c r="J20" s="17">
        <v>0.012</v>
      </c>
      <c r="K20" s="17"/>
      <c r="L20" s="17"/>
      <c r="M20" s="17"/>
      <c r="N20" s="17"/>
      <c r="O20" s="17">
        <f t="shared" si="0"/>
        <v>0.012</v>
      </c>
    </row>
    <row r="21" spans="5:15" ht="11.25" customHeight="1" outlineLevel="1">
      <c r="E21" s="15"/>
      <c r="F21" s="15"/>
      <c r="G21" s="15"/>
      <c r="H21" s="70"/>
      <c r="I21" s="15"/>
      <c r="J21" s="17"/>
      <c r="K21" s="17"/>
      <c r="L21" s="17"/>
      <c r="M21" s="17"/>
      <c r="N21" s="17"/>
      <c r="O21" s="17"/>
    </row>
    <row r="22" spans="2:15" ht="12.75">
      <c r="B22" s="10" t="s">
        <v>25</v>
      </c>
      <c r="G22" s="44">
        <f>SUM(G12:G18)</f>
        <v>8.032</v>
      </c>
      <c r="H22" s="44" t="e">
        <f>SUM(H12:H18)</f>
        <v>#REF!</v>
      </c>
      <c r="I22" s="44">
        <f>SUM(I12:I18)</f>
        <v>12.935000000000002</v>
      </c>
      <c r="J22" s="44">
        <f>SUM(J12:J21)</f>
        <v>16.305</v>
      </c>
      <c r="K22" s="44"/>
      <c r="L22" s="44"/>
      <c r="M22" s="44">
        <f>SUM(M12:M20)</f>
        <v>0.257</v>
      </c>
      <c r="N22" s="44"/>
      <c r="O22" s="44">
        <f>SUM(O12:O20)</f>
        <v>16.562</v>
      </c>
    </row>
    <row r="23" spans="10:15" ht="13.5" customHeight="1">
      <c r="J23" s="17"/>
      <c r="K23" s="17"/>
      <c r="L23" s="17"/>
      <c r="M23" s="17"/>
      <c r="N23" s="17"/>
      <c r="O23" s="17"/>
    </row>
    <row r="24" spans="2:15" ht="12.75" outlineLevel="1">
      <c r="B24" s="8" t="s">
        <v>28</v>
      </c>
      <c r="J24" s="17"/>
      <c r="K24" s="17"/>
      <c r="L24" s="17"/>
      <c r="M24" s="17"/>
      <c r="N24" s="17"/>
      <c r="O24" s="17"/>
    </row>
    <row r="25" spans="10:15" ht="8.25" customHeight="1" outlineLevel="1">
      <c r="J25" s="17"/>
      <c r="K25" s="17"/>
      <c r="L25" s="17"/>
      <c r="M25" s="17"/>
      <c r="N25" s="17"/>
      <c r="O25" s="17"/>
    </row>
    <row r="26" spans="2:15" ht="12.75" outlineLevel="1">
      <c r="B26" s="9" t="s">
        <v>139</v>
      </c>
      <c r="E26" s="16"/>
      <c r="H26" s="48" t="e">
        <f>#REF!+#REF!</f>
        <v>#REF!</v>
      </c>
      <c r="I26" s="16">
        <v>9.352</v>
      </c>
      <c r="J26" s="17">
        <v>8.035</v>
      </c>
      <c r="K26" s="17"/>
      <c r="L26" s="17"/>
      <c r="M26" s="17"/>
      <c r="N26" s="17"/>
      <c r="O26" s="17">
        <f aca="true" t="shared" si="1" ref="O26:O58">J26+M26</f>
        <v>8.035</v>
      </c>
    </row>
    <row r="27" spans="2:15" ht="12.75" outlineLevel="1">
      <c r="B27" s="9" t="s">
        <v>140</v>
      </c>
      <c r="E27" s="16"/>
      <c r="H27" s="48"/>
      <c r="I27" s="16">
        <v>1</v>
      </c>
      <c r="J27" s="17">
        <v>0.796</v>
      </c>
      <c r="K27" s="17"/>
      <c r="L27" s="17"/>
      <c r="M27" s="17"/>
      <c r="N27" s="17"/>
      <c r="O27" s="17">
        <f t="shared" si="1"/>
        <v>0.796</v>
      </c>
    </row>
    <row r="28" spans="2:15" ht="12.75" outlineLevel="1">
      <c r="B28" s="9" t="s">
        <v>53</v>
      </c>
      <c r="E28" s="16"/>
      <c r="H28" s="48"/>
      <c r="I28" s="16">
        <v>0.6</v>
      </c>
      <c r="J28" s="17">
        <v>0.6</v>
      </c>
      <c r="K28" s="17"/>
      <c r="L28" s="17"/>
      <c r="M28" s="17"/>
      <c r="N28" s="17"/>
      <c r="O28" s="17">
        <f t="shared" si="1"/>
        <v>0.6</v>
      </c>
    </row>
    <row r="29" spans="2:15" ht="12.75" outlineLevel="1">
      <c r="B29" s="9" t="s">
        <v>384</v>
      </c>
      <c r="E29" s="16"/>
      <c r="H29" s="48"/>
      <c r="I29" s="16"/>
      <c r="J29" s="17">
        <v>0.002</v>
      </c>
      <c r="K29" s="17"/>
      <c r="L29" s="17"/>
      <c r="M29" s="17"/>
      <c r="N29" s="17"/>
      <c r="O29" s="17">
        <f t="shared" si="1"/>
        <v>0.002</v>
      </c>
    </row>
    <row r="30" spans="2:15" ht="12.75" outlineLevel="1">
      <c r="B30" s="9" t="s">
        <v>43</v>
      </c>
      <c r="E30" s="16"/>
      <c r="H30" s="64"/>
      <c r="I30" s="16">
        <v>2.26</v>
      </c>
      <c r="J30" s="17">
        <v>2.455</v>
      </c>
      <c r="K30" s="17"/>
      <c r="L30" s="17"/>
      <c r="M30" s="17">
        <v>-0.187</v>
      </c>
      <c r="N30" s="17"/>
      <c r="O30" s="17">
        <f t="shared" si="1"/>
        <v>2.2680000000000002</v>
      </c>
    </row>
    <row r="31" spans="2:15" ht="12.75" outlineLevel="1">
      <c r="B31" s="9" t="s">
        <v>262</v>
      </c>
      <c r="E31" s="16"/>
      <c r="H31" s="64"/>
      <c r="I31" s="16"/>
      <c r="J31" s="17">
        <v>3.7279999999999998</v>
      </c>
      <c r="K31" s="17"/>
      <c r="L31" s="17"/>
      <c r="M31" s="17"/>
      <c r="N31" s="17"/>
      <c r="O31" s="17">
        <f t="shared" si="1"/>
        <v>3.7279999999999998</v>
      </c>
    </row>
    <row r="32" spans="2:15" ht="12.75" outlineLevel="1">
      <c r="B32" s="9" t="s">
        <v>45</v>
      </c>
      <c r="E32" s="16"/>
      <c r="H32" s="64"/>
      <c r="I32" s="16">
        <v>0.29</v>
      </c>
      <c r="J32" s="17">
        <v>0.304</v>
      </c>
      <c r="K32" s="17"/>
      <c r="L32" s="17"/>
      <c r="M32" s="17"/>
      <c r="N32" s="17"/>
      <c r="O32" s="17">
        <f t="shared" si="1"/>
        <v>0.304</v>
      </c>
    </row>
    <row r="33" spans="2:15" ht="12.75" outlineLevel="1">
      <c r="B33" s="9" t="s">
        <v>49</v>
      </c>
      <c r="E33" s="16"/>
      <c r="H33" s="64"/>
      <c r="I33" s="16">
        <v>2.336</v>
      </c>
      <c r="J33" s="17">
        <v>0</v>
      </c>
      <c r="K33" s="17"/>
      <c r="L33" s="17"/>
      <c r="M33" s="17"/>
      <c r="N33" s="17"/>
      <c r="O33" s="17">
        <f t="shared" si="1"/>
        <v>0</v>
      </c>
    </row>
    <row r="34" spans="2:15" ht="12.75" outlineLevel="1">
      <c r="B34" s="9" t="s">
        <v>57</v>
      </c>
      <c r="E34" s="16"/>
      <c r="H34" s="64"/>
      <c r="I34" s="16">
        <v>0.124</v>
      </c>
      <c r="J34" s="17">
        <v>0.259</v>
      </c>
      <c r="K34" s="17"/>
      <c r="L34" s="17"/>
      <c r="M34" s="17">
        <f>0.187</f>
        <v>0.187</v>
      </c>
      <c r="N34" s="17"/>
      <c r="O34" s="17">
        <f t="shared" si="1"/>
        <v>0.446</v>
      </c>
    </row>
    <row r="35" spans="2:15" ht="12.75" outlineLevel="1">
      <c r="B35" s="9" t="s">
        <v>141</v>
      </c>
      <c r="E35" s="16"/>
      <c r="H35" s="64"/>
      <c r="I35" s="16">
        <v>0.187</v>
      </c>
      <c r="J35" s="17">
        <v>0.092</v>
      </c>
      <c r="K35" s="17"/>
      <c r="L35" s="17"/>
      <c r="M35" s="17">
        <v>0.071</v>
      </c>
      <c r="N35" s="17"/>
      <c r="O35" s="17">
        <f t="shared" si="1"/>
        <v>0.16299999999999998</v>
      </c>
    </row>
    <row r="36" spans="2:15" ht="12.75" outlineLevel="1">
      <c r="B36" s="9" t="s">
        <v>412</v>
      </c>
      <c r="E36" s="16"/>
      <c r="H36" s="64"/>
      <c r="I36" s="16"/>
      <c r="J36" s="17">
        <v>0.137</v>
      </c>
      <c r="K36" s="17"/>
      <c r="L36" s="17"/>
      <c r="M36" s="17"/>
      <c r="N36" s="17"/>
      <c r="O36" s="17">
        <f t="shared" si="1"/>
        <v>0.137</v>
      </c>
    </row>
    <row r="37" spans="2:15" ht="12.75" outlineLevel="1">
      <c r="B37" s="9" t="s">
        <v>29</v>
      </c>
      <c r="E37" s="16"/>
      <c r="H37" s="64" t="e">
        <f>#REF!+#REF!</f>
        <v>#REF!</v>
      </c>
      <c r="I37" s="16">
        <v>5.586</v>
      </c>
      <c r="J37" s="17">
        <v>7.325</v>
      </c>
      <c r="K37" s="17"/>
      <c r="L37" s="17"/>
      <c r="M37" s="17">
        <v>-1.145</v>
      </c>
      <c r="N37" s="17"/>
      <c r="O37" s="17">
        <f t="shared" si="1"/>
        <v>6.18</v>
      </c>
    </row>
    <row r="38" spans="2:15" ht="12.75" outlineLevel="1">
      <c r="B38" s="9" t="s">
        <v>142</v>
      </c>
      <c r="E38" s="16"/>
      <c r="H38" s="64"/>
      <c r="I38" s="16">
        <v>0.151</v>
      </c>
      <c r="J38" s="17">
        <v>0.223</v>
      </c>
      <c r="K38" s="17"/>
      <c r="L38" s="17"/>
      <c r="M38" s="17"/>
      <c r="N38" s="17"/>
      <c r="O38" s="17">
        <f t="shared" si="1"/>
        <v>0.223</v>
      </c>
    </row>
    <row r="39" spans="2:15" ht="12.75" outlineLevel="1">
      <c r="B39" s="9" t="s">
        <v>151</v>
      </c>
      <c r="E39" s="16"/>
      <c r="H39" s="64"/>
      <c r="I39" s="16"/>
      <c r="J39" s="17">
        <v>0.053</v>
      </c>
      <c r="K39" s="17"/>
      <c r="L39" s="17"/>
      <c r="M39" s="17"/>
      <c r="N39" s="17"/>
      <c r="O39" s="17">
        <f t="shared" si="1"/>
        <v>0.053</v>
      </c>
    </row>
    <row r="40" spans="2:15" ht="12.75" outlineLevel="1">
      <c r="B40" s="9" t="s">
        <v>48</v>
      </c>
      <c r="E40" s="9"/>
      <c r="F40" s="9"/>
      <c r="G40" s="9"/>
      <c r="H40" s="64"/>
      <c r="I40" s="16">
        <v>1.366</v>
      </c>
      <c r="J40" s="17">
        <v>2.968</v>
      </c>
      <c r="K40" s="17"/>
      <c r="L40" s="17"/>
      <c r="M40" s="17">
        <v>-0.001</v>
      </c>
      <c r="N40" s="17"/>
      <c r="O40" s="17">
        <f t="shared" si="1"/>
        <v>2.967</v>
      </c>
    </row>
    <row r="41" spans="2:15" ht="12.75" outlineLevel="1">
      <c r="B41" s="9" t="s">
        <v>388</v>
      </c>
      <c r="E41" s="9"/>
      <c r="F41" s="9"/>
      <c r="G41" s="9"/>
      <c r="H41" s="64"/>
      <c r="I41" s="16"/>
      <c r="J41" s="17">
        <v>0.016</v>
      </c>
      <c r="K41" s="17"/>
      <c r="L41" s="17"/>
      <c r="M41" s="17"/>
      <c r="N41" s="17"/>
      <c r="O41" s="17">
        <f t="shared" si="1"/>
        <v>0.016</v>
      </c>
    </row>
    <row r="42" spans="2:15" ht="12.75" outlineLevel="1">
      <c r="B42" s="9" t="s">
        <v>46</v>
      </c>
      <c r="E42" s="16"/>
      <c r="H42" s="64" t="e">
        <f>#REF!+#REF!</f>
        <v>#REF!</v>
      </c>
      <c r="I42" s="16">
        <v>1.73</v>
      </c>
      <c r="J42" s="17">
        <v>1.908</v>
      </c>
      <c r="K42" s="17"/>
      <c r="L42" s="17"/>
      <c r="M42" s="17">
        <v>0.078</v>
      </c>
      <c r="N42" s="17"/>
      <c r="O42" s="17">
        <f t="shared" si="1"/>
        <v>1.986</v>
      </c>
    </row>
    <row r="43" spans="2:15" ht="12.75" outlineLevel="1">
      <c r="B43" s="9" t="s">
        <v>150</v>
      </c>
      <c r="E43" s="16"/>
      <c r="H43" s="64"/>
      <c r="I43" s="16"/>
      <c r="J43" s="17">
        <v>0.04</v>
      </c>
      <c r="K43" s="17"/>
      <c r="L43" s="17"/>
      <c r="M43" s="17">
        <v>0.06</v>
      </c>
      <c r="N43" s="17"/>
      <c r="O43" s="17">
        <f t="shared" si="1"/>
        <v>0.1</v>
      </c>
    </row>
    <row r="44" spans="3:15" ht="12.75" outlineLevel="1">
      <c r="C44" s="9" t="s">
        <v>554</v>
      </c>
      <c r="E44" s="16"/>
      <c r="H44" s="64"/>
      <c r="I44" s="16"/>
      <c r="J44" s="17"/>
      <c r="K44" s="17"/>
      <c r="L44" s="17"/>
      <c r="M44" s="17">
        <v>0.206</v>
      </c>
      <c r="N44" s="17"/>
      <c r="O44" s="17">
        <f t="shared" si="1"/>
        <v>0.206</v>
      </c>
    </row>
    <row r="45" spans="2:15" ht="12.75" outlineLevel="1">
      <c r="B45" s="9" t="s">
        <v>391</v>
      </c>
      <c r="E45" s="16"/>
      <c r="H45" s="64"/>
      <c r="I45" s="16"/>
      <c r="J45" s="17">
        <v>0.064</v>
      </c>
      <c r="K45" s="17"/>
      <c r="L45" s="17"/>
      <c r="M45" s="17"/>
      <c r="N45" s="17"/>
      <c r="O45" s="17">
        <f t="shared" si="1"/>
        <v>0.064</v>
      </c>
    </row>
    <row r="46" spans="2:15" ht="12.75" outlineLevel="1">
      <c r="B46" s="9" t="s">
        <v>36</v>
      </c>
      <c r="E46" s="16"/>
      <c r="H46" s="64"/>
      <c r="I46" s="16">
        <v>0.905</v>
      </c>
      <c r="J46" s="17">
        <v>2.6380000000000003</v>
      </c>
      <c r="K46" s="17"/>
      <c r="L46" s="17"/>
      <c r="M46" s="17">
        <v>0.223</v>
      </c>
      <c r="N46" s="17"/>
      <c r="O46" s="17">
        <f t="shared" si="1"/>
        <v>2.861</v>
      </c>
    </row>
    <row r="47" spans="2:15" ht="12.75" outlineLevel="1">
      <c r="B47" s="9" t="s">
        <v>392</v>
      </c>
      <c r="E47" s="16"/>
      <c r="H47" s="64"/>
      <c r="I47" s="16"/>
      <c r="J47" s="17">
        <v>0.052</v>
      </c>
      <c r="K47" s="17"/>
      <c r="L47" s="17"/>
      <c r="M47" s="17"/>
      <c r="N47" s="17"/>
      <c r="O47" s="17">
        <f t="shared" si="1"/>
        <v>0.052</v>
      </c>
    </row>
    <row r="48" spans="2:15" ht="12.75" outlineLevel="1">
      <c r="B48" s="9" t="s">
        <v>395</v>
      </c>
      <c r="E48" s="16"/>
      <c r="H48" s="64"/>
      <c r="I48" s="16"/>
      <c r="J48" s="17">
        <v>0.002</v>
      </c>
      <c r="K48" s="17"/>
      <c r="L48" s="17"/>
      <c r="M48" s="17"/>
      <c r="N48" s="17"/>
      <c r="O48" s="17">
        <f t="shared" si="1"/>
        <v>0.002</v>
      </c>
    </row>
    <row r="49" spans="2:15" ht="12.75" outlineLevel="1">
      <c r="B49" s="9" t="s">
        <v>44</v>
      </c>
      <c r="E49" s="16"/>
      <c r="H49" s="64"/>
      <c r="I49" s="16">
        <v>4.377</v>
      </c>
      <c r="J49" s="17">
        <v>2.8960000000000004</v>
      </c>
      <c r="K49" s="17"/>
      <c r="L49" s="17"/>
      <c r="M49" s="17">
        <v>0.047</v>
      </c>
      <c r="N49" s="17"/>
      <c r="O49" s="17">
        <f t="shared" si="1"/>
        <v>2.9430000000000005</v>
      </c>
    </row>
    <row r="50" spans="2:15" ht="12.75" outlineLevel="1">
      <c r="B50" s="9" t="s">
        <v>143</v>
      </c>
      <c r="E50" s="16"/>
      <c r="H50" s="64"/>
      <c r="I50" s="16">
        <v>0.169</v>
      </c>
      <c r="J50" s="17">
        <v>0.21400000000000002</v>
      </c>
      <c r="K50" s="17"/>
      <c r="L50" s="17"/>
      <c r="M50" s="17">
        <v>-0.186</v>
      </c>
      <c r="N50" s="17"/>
      <c r="O50" s="17">
        <f t="shared" si="1"/>
        <v>0.028000000000000025</v>
      </c>
    </row>
    <row r="51" spans="2:15" ht="12.75" outlineLevel="1">
      <c r="B51" s="9" t="s">
        <v>264</v>
      </c>
      <c r="E51" s="16"/>
      <c r="H51" s="64"/>
      <c r="I51" s="16"/>
      <c r="J51" s="17">
        <v>0.096</v>
      </c>
      <c r="K51" s="17"/>
      <c r="L51" s="17"/>
      <c r="M51" s="17"/>
      <c r="N51" s="17"/>
      <c r="O51" s="17">
        <f t="shared" si="1"/>
        <v>0.096</v>
      </c>
    </row>
    <row r="52" spans="2:15" ht="12.75" outlineLevel="1">
      <c r="B52" s="9" t="s">
        <v>265</v>
      </c>
      <c r="E52" s="16"/>
      <c r="H52" s="64"/>
      <c r="I52" s="16"/>
      <c r="J52" s="17">
        <v>0.387</v>
      </c>
      <c r="K52" s="17"/>
      <c r="L52" s="17"/>
      <c r="M52" s="17">
        <v>0.023</v>
      </c>
      <c r="N52" s="17"/>
      <c r="O52" s="17">
        <f t="shared" si="1"/>
        <v>0.41000000000000003</v>
      </c>
    </row>
    <row r="53" spans="2:15" ht="12.75" outlineLevel="1">
      <c r="B53" s="9" t="s">
        <v>144</v>
      </c>
      <c r="E53" s="16"/>
      <c r="H53" s="64"/>
      <c r="I53" s="16">
        <v>0.1</v>
      </c>
      <c r="J53" s="17">
        <v>0.1</v>
      </c>
      <c r="K53" s="17"/>
      <c r="L53" s="17"/>
      <c r="M53" s="17"/>
      <c r="N53" s="17"/>
      <c r="O53" s="17">
        <f t="shared" si="1"/>
        <v>0.1</v>
      </c>
    </row>
    <row r="54" spans="2:15" ht="12.75" outlineLevel="1">
      <c r="B54" s="9" t="s">
        <v>414</v>
      </c>
      <c r="E54" s="16"/>
      <c r="H54" s="64"/>
      <c r="I54" s="16"/>
      <c r="J54" s="17">
        <v>0.7</v>
      </c>
      <c r="K54" s="17"/>
      <c r="L54" s="17"/>
      <c r="M54" s="17"/>
      <c r="N54" s="17"/>
      <c r="O54" s="17">
        <f t="shared" si="1"/>
        <v>0.7</v>
      </c>
    </row>
    <row r="55" spans="2:15" ht="12.75" outlineLevel="1">
      <c r="B55" s="9" t="s">
        <v>569</v>
      </c>
      <c r="E55" s="16"/>
      <c r="H55" s="64"/>
      <c r="I55" s="16"/>
      <c r="J55" s="17"/>
      <c r="K55" s="17"/>
      <c r="L55" s="17"/>
      <c r="M55" s="17">
        <v>0.011</v>
      </c>
      <c r="N55" s="17"/>
      <c r="O55" s="17">
        <f t="shared" si="1"/>
        <v>0.011</v>
      </c>
    </row>
    <row r="56" spans="2:15" ht="12.75" outlineLevel="1">
      <c r="B56" s="9" t="s">
        <v>565</v>
      </c>
      <c r="E56" s="16"/>
      <c r="H56" s="64"/>
      <c r="I56" s="16"/>
      <c r="J56" s="17"/>
      <c r="K56" s="17"/>
      <c r="L56" s="17"/>
      <c r="M56" s="17">
        <v>0.071</v>
      </c>
      <c r="N56" s="17"/>
      <c r="O56" s="17">
        <f t="shared" si="1"/>
        <v>0.071</v>
      </c>
    </row>
    <row r="57" spans="2:15" ht="12.75" outlineLevel="1">
      <c r="B57" s="9" t="s">
        <v>567</v>
      </c>
      <c r="E57" s="16"/>
      <c r="H57" s="64"/>
      <c r="I57" s="16"/>
      <c r="J57" s="17"/>
      <c r="K57" s="17"/>
      <c r="L57" s="17"/>
      <c r="M57" s="17">
        <v>0.02</v>
      </c>
      <c r="N57" s="17"/>
      <c r="O57" s="17">
        <f t="shared" si="1"/>
        <v>0.02</v>
      </c>
    </row>
    <row r="58" spans="2:15" ht="12.75" outlineLevel="1">
      <c r="B58" s="9" t="s">
        <v>415</v>
      </c>
      <c r="E58" s="16"/>
      <c r="H58" s="64"/>
      <c r="I58" s="16"/>
      <c r="J58" s="17">
        <v>0.15</v>
      </c>
      <c r="K58" s="17"/>
      <c r="L58" s="17"/>
      <c r="M58" s="17"/>
      <c r="N58" s="17"/>
      <c r="O58" s="17">
        <f t="shared" si="1"/>
        <v>0.15</v>
      </c>
    </row>
    <row r="59" spans="5:15" ht="12.75" outlineLevel="1">
      <c r="E59" s="16"/>
      <c r="F59" s="16"/>
      <c r="G59" s="16"/>
      <c r="I59" s="16"/>
      <c r="J59" s="17"/>
      <c r="K59" s="17"/>
      <c r="L59" s="17"/>
      <c r="M59" s="17"/>
      <c r="N59" s="17"/>
      <c r="O59" s="17"/>
    </row>
    <row r="60" spans="2:15" ht="12.75">
      <c r="B60" s="10" t="s">
        <v>28</v>
      </c>
      <c r="E60" s="16"/>
      <c r="F60" s="16"/>
      <c r="G60" s="16"/>
      <c r="H60" s="65" t="e">
        <f>SUM(H26:H46)</f>
        <v>#REF!</v>
      </c>
      <c r="I60" s="44">
        <f>SUM(I26:I53)</f>
        <v>30.533</v>
      </c>
      <c r="J60" s="44">
        <f>SUM(J26:J59)</f>
        <v>36.239999999999995</v>
      </c>
      <c r="K60" s="44"/>
      <c r="L60" s="44"/>
      <c r="M60" s="44">
        <f>SUM(M26:M58)</f>
        <v>-0.5220000000000001</v>
      </c>
      <c r="N60" s="44"/>
      <c r="O60" s="44">
        <f>SUM(O26:O58)</f>
        <v>35.717999999999996</v>
      </c>
    </row>
    <row r="61" spans="5:15" ht="12.75" customHeight="1">
      <c r="E61" s="16"/>
      <c r="F61" s="16"/>
      <c r="G61" s="16"/>
      <c r="J61" s="17"/>
      <c r="K61" s="17"/>
      <c r="L61" s="17"/>
      <c r="M61" s="17"/>
      <c r="N61" s="17"/>
      <c r="O61" s="17"/>
    </row>
    <row r="62" spans="2:15" ht="12.75">
      <c r="B62" s="8" t="s">
        <v>30</v>
      </c>
      <c r="E62" s="16"/>
      <c r="F62" s="16"/>
      <c r="G62" s="16"/>
      <c r="J62" s="17"/>
      <c r="K62" s="17"/>
      <c r="L62" s="17"/>
      <c r="M62" s="17"/>
      <c r="N62" s="17"/>
      <c r="O62" s="17"/>
    </row>
    <row r="63" spans="5:15" ht="13.5" customHeight="1">
      <c r="E63" s="16"/>
      <c r="F63" s="16"/>
      <c r="G63" s="16"/>
      <c r="J63" s="17"/>
      <c r="K63" s="17"/>
      <c r="L63" s="17"/>
      <c r="M63" s="17"/>
      <c r="N63" s="17"/>
      <c r="O63" s="17"/>
    </row>
    <row r="64" spans="2:15" ht="12.75" outlineLevel="1">
      <c r="B64" s="9" t="s">
        <v>145</v>
      </c>
      <c r="E64" s="16"/>
      <c r="F64" s="16"/>
      <c r="G64" s="16">
        <v>8.338</v>
      </c>
      <c r="H64" s="42" t="e">
        <f>#REF!+#REF!</f>
        <v>#REF!</v>
      </c>
      <c r="J64" s="17">
        <v>8.246</v>
      </c>
      <c r="K64" s="17"/>
      <c r="L64" s="17"/>
      <c r="M64" s="17">
        <f>('Appendix 3'!F50/1000)-'Appendix 2'!J64</f>
        <v>0.017999999999998906</v>
      </c>
      <c r="N64" s="17"/>
      <c r="O64" s="17">
        <f>J64+M64</f>
        <v>8.264</v>
      </c>
    </row>
    <row r="65" spans="2:15" ht="12.75" outlineLevel="1">
      <c r="B65" s="9" t="s">
        <v>270</v>
      </c>
      <c r="E65" s="16"/>
      <c r="F65" s="16"/>
      <c r="G65" s="16"/>
      <c r="H65" s="42"/>
      <c r="J65" s="17">
        <v>1.1480000000000006</v>
      </c>
      <c r="K65" s="17"/>
      <c r="L65" s="17"/>
      <c r="M65" s="17"/>
      <c r="N65" s="17"/>
      <c r="O65" s="17">
        <f>J65+M65</f>
        <v>1.1480000000000006</v>
      </c>
    </row>
    <row r="66" spans="5:15" ht="12.75" outlineLevel="1">
      <c r="E66" s="16"/>
      <c r="F66" s="16"/>
      <c r="G66" s="66"/>
      <c r="J66" s="17"/>
      <c r="K66" s="17"/>
      <c r="L66" s="17"/>
      <c r="M66" s="17"/>
      <c r="N66" s="17"/>
      <c r="O66" s="17"/>
    </row>
    <row r="67" spans="2:15" ht="12.75">
      <c r="B67" s="10" t="s">
        <v>30</v>
      </c>
      <c r="E67" s="16"/>
      <c r="F67" s="16"/>
      <c r="G67" s="44">
        <f>SUM(G64:G64)</f>
        <v>8.338</v>
      </c>
      <c r="H67" s="42" t="e">
        <f>SUM(H64:H64)</f>
        <v>#REF!</v>
      </c>
      <c r="J67" s="44">
        <f>SUM(J64:J66)</f>
        <v>9.394000000000002</v>
      </c>
      <c r="K67" s="44"/>
      <c r="L67" s="44"/>
      <c r="M67" s="44">
        <f>SUM(M64:M65)</f>
        <v>0.017999999999998906</v>
      </c>
      <c r="N67" s="44"/>
      <c r="O67" s="44">
        <f>SUM(O64:O65)</f>
        <v>9.411999999999999</v>
      </c>
    </row>
    <row r="68" spans="5:15" ht="9" customHeight="1">
      <c r="E68" s="16"/>
      <c r="F68" s="16"/>
      <c r="G68" s="16"/>
      <c r="J68" s="17"/>
      <c r="K68" s="17"/>
      <c r="L68" s="17"/>
      <c r="M68" s="17"/>
      <c r="N68" s="17"/>
      <c r="O68" s="17"/>
    </row>
    <row r="69" spans="2:15" ht="12.75">
      <c r="B69" s="8" t="s">
        <v>31</v>
      </c>
      <c r="E69" s="16"/>
      <c r="F69" s="16"/>
      <c r="G69" s="16"/>
      <c r="J69" s="17"/>
      <c r="K69" s="17"/>
      <c r="L69" s="17"/>
      <c r="M69" s="17"/>
      <c r="N69" s="17"/>
      <c r="O69" s="17"/>
    </row>
    <row r="70" spans="5:15" ht="9" customHeight="1">
      <c r="E70" s="16"/>
      <c r="F70" s="16"/>
      <c r="G70" s="16"/>
      <c r="J70" s="17"/>
      <c r="K70" s="17"/>
      <c r="L70" s="17"/>
      <c r="M70" s="17"/>
      <c r="N70" s="17"/>
      <c r="O70" s="17"/>
    </row>
    <row r="71" spans="2:15" ht="12.75" customHeight="1">
      <c r="B71" s="9" t="s">
        <v>55</v>
      </c>
      <c r="E71" s="16"/>
      <c r="F71" s="16"/>
      <c r="G71" s="16"/>
      <c r="I71" s="17">
        <v>2.255</v>
      </c>
      <c r="J71" s="17">
        <v>5.0329999999999995</v>
      </c>
      <c r="K71" s="17"/>
      <c r="L71" s="17"/>
      <c r="M71" s="17"/>
      <c r="N71" s="17"/>
      <c r="O71" s="17">
        <f aca="true" t="shared" si="2" ref="O71:O88">J71+M71</f>
        <v>5.0329999999999995</v>
      </c>
    </row>
    <row r="72" spans="2:15" ht="12.75" customHeight="1">
      <c r="B72" s="9" t="s">
        <v>146</v>
      </c>
      <c r="E72" s="16"/>
      <c r="F72" s="16"/>
      <c r="G72" s="16"/>
      <c r="I72" s="17">
        <v>15.946</v>
      </c>
      <c r="J72" s="17">
        <v>15.946</v>
      </c>
      <c r="K72" s="17"/>
      <c r="L72" s="17"/>
      <c r="M72" s="17"/>
      <c r="N72" s="17"/>
      <c r="O72" s="17">
        <f t="shared" si="2"/>
        <v>15.946</v>
      </c>
    </row>
    <row r="73" spans="2:15" ht="12.75" customHeight="1">
      <c r="B73" s="9" t="s">
        <v>263</v>
      </c>
      <c r="E73" s="16"/>
      <c r="F73" s="16"/>
      <c r="G73" s="16"/>
      <c r="J73" s="17">
        <v>0.003</v>
      </c>
      <c r="K73" s="17"/>
      <c r="L73" s="17"/>
      <c r="M73" s="17"/>
      <c r="N73" s="17"/>
      <c r="O73" s="17">
        <f t="shared" si="2"/>
        <v>0.003</v>
      </c>
    </row>
    <row r="74" spans="2:15" ht="12.75" customHeight="1">
      <c r="B74" s="9" t="s">
        <v>571</v>
      </c>
      <c r="E74" s="16"/>
      <c r="F74" s="16"/>
      <c r="G74" s="16"/>
      <c r="J74" s="17"/>
      <c r="K74" s="17"/>
      <c r="L74" s="17"/>
      <c r="M74" s="17">
        <v>0.05</v>
      </c>
      <c r="N74" s="17"/>
      <c r="O74" s="17">
        <f t="shared" si="2"/>
        <v>0.05</v>
      </c>
    </row>
    <row r="75" spans="2:15" ht="12.75" customHeight="1">
      <c r="B75" s="9" t="s">
        <v>147</v>
      </c>
      <c r="E75" s="16"/>
      <c r="F75" s="16"/>
      <c r="G75" s="16"/>
      <c r="I75" s="17">
        <v>0.13</v>
      </c>
      <c r="J75" s="17">
        <v>0.13</v>
      </c>
      <c r="K75" s="17"/>
      <c r="L75" s="17"/>
      <c r="M75" s="17">
        <v>-0.13</v>
      </c>
      <c r="N75" s="17"/>
      <c r="O75" s="17">
        <f t="shared" si="2"/>
        <v>0</v>
      </c>
    </row>
    <row r="76" spans="2:15" ht="12.75" customHeight="1">
      <c r="B76" s="9" t="s">
        <v>390</v>
      </c>
      <c r="E76" s="16"/>
      <c r="F76" s="16"/>
      <c r="G76" s="16"/>
      <c r="J76" s="17">
        <v>0.436</v>
      </c>
      <c r="K76" s="17"/>
      <c r="L76" s="17"/>
      <c r="M76" s="17"/>
      <c r="N76" s="17"/>
      <c r="O76" s="17">
        <f t="shared" si="2"/>
        <v>0.436</v>
      </c>
    </row>
    <row r="77" spans="2:15" ht="12.75" customHeight="1">
      <c r="B77" s="9" t="s">
        <v>387</v>
      </c>
      <c r="E77" s="16"/>
      <c r="F77" s="16"/>
      <c r="G77" s="16"/>
      <c r="J77" s="17">
        <v>0.06</v>
      </c>
      <c r="K77" s="17"/>
      <c r="L77" s="17"/>
      <c r="M77" s="17"/>
      <c r="N77" s="17"/>
      <c r="O77" s="17">
        <f t="shared" si="2"/>
        <v>0.06</v>
      </c>
    </row>
    <row r="78" spans="2:15" ht="12.75" customHeight="1">
      <c r="B78" s="9" t="s">
        <v>272</v>
      </c>
      <c r="E78" s="16"/>
      <c r="F78" s="16"/>
      <c r="G78" s="16"/>
      <c r="J78" s="17">
        <v>0.008</v>
      </c>
      <c r="K78" s="17"/>
      <c r="L78" s="17"/>
      <c r="M78" s="17"/>
      <c r="N78" s="17"/>
      <c r="O78" s="17">
        <f t="shared" si="2"/>
        <v>0.008</v>
      </c>
    </row>
    <row r="79" spans="2:15" ht="12.75" customHeight="1">
      <c r="B79" s="9" t="s">
        <v>273</v>
      </c>
      <c r="E79" s="16"/>
      <c r="F79" s="16"/>
      <c r="G79" s="16"/>
      <c r="J79" s="17">
        <v>0.003</v>
      </c>
      <c r="K79" s="17"/>
      <c r="L79" s="17"/>
      <c r="M79" s="17"/>
      <c r="N79" s="17"/>
      <c r="O79" s="17">
        <f t="shared" si="2"/>
        <v>0.003</v>
      </c>
    </row>
    <row r="80" spans="2:15" ht="12.75" customHeight="1">
      <c r="B80" s="9" t="s">
        <v>274</v>
      </c>
      <c r="E80" s="16"/>
      <c r="F80" s="16"/>
      <c r="G80" s="16"/>
      <c r="J80" s="17">
        <v>0.004</v>
      </c>
      <c r="K80" s="17"/>
      <c r="L80" s="17"/>
      <c r="M80" s="17">
        <v>-0.004</v>
      </c>
      <c r="N80" s="17"/>
      <c r="O80" s="17">
        <f t="shared" si="2"/>
        <v>0</v>
      </c>
    </row>
    <row r="81" spans="2:15" ht="12.75" customHeight="1">
      <c r="B81" s="9" t="s">
        <v>148</v>
      </c>
      <c r="E81" s="16"/>
      <c r="F81" s="16"/>
      <c r="G81" s="16"/>
      <c r="I81" s="17">
        <v>0.014</v>
      </c>
      <c r="J81" s="17">
        <v>0.014</v>
      </c>
      <c r="K81" s="17"/>
      <c r="L81" s="17"/>
      <c r="M81" s="17">
        <f>-0.014+0.03</f>
        <v>0.016</v>
      </c>
      <c r="N81" s="17"/>
      <c r="O81" s="17">
        <f t="shared" si="2"/>
        <v>0.03</v>
      </c>
    </row>
    <row r="82" spans="2:15" ht="12.75" customHeight="1">
      <c r="B82" s="9" t="s">
        <v>566</v>
      </c>
      <c r="E82" s="16"/>
      <c r="F82" s="16"/>
      <c r="G82" s="16"/>
      <c r="J82" s="17"/>
      <c r="K82" s="17"/>
      <c r="L82" s="17"/>
      <c r="M82" s="17">
        <v>0.003</v>
      </c>
      <c r="N82" s="17"/>
      <c r="O82" s="17">
        <f t="shared" si="2"/>
        <v>0.003</v>
      </c>
    </row>
    <row r="83" spans="2:15" ht="12.75" customHeight="1">
      <c r="B83" s="9" t="s">
        <v>152</v>
      </c>
      <c r="E83" s="16"/>
      <c r="F83" s="16"/>
      <c r="G83" s="16"/>
      <c r="J83" s="17">
        <v>0.276</v>
      </c>
      <c r="K83" s="17"/>
      <c r="L83" s="17"/>
      <c r="M83" s="17">
        <v>-0.05</v>
      </c>
      <c r="N83" s="17"/>
      <c r="O83" s="17">
        <f t="shared" si="2"/>
        <v>0.22600000000000003</v>
      </c>
    </row>
    <row r="84" spans="2:15" ht="12.75" customHeight="1">
      <c r="B84" s="9" t="s">
        <v>386</v>
      </c>
      <c r="E84" s="16"/>
      <c r="F84" s="16"/>
      <c r="G84" s="16"/>
      <c r="J84" s="17">
        <v>0.056999999999999995</v>
      </c>
      <c r="K84" s="17"/>
      <c r="L84" s="17"/>
      <c r="M84" s="17"/>
      <c r="N84" s="17"/>
      <c r="O84" s="17">
        <f t="shared" si="2"/>
        <v>0.056999999999999995</v>
      </c>
    </row>
    <row r="85" spans="2:15" ht="12.75" customHeight="1">
      <c r="B85" s="9" t="s">
        <v>389</v>
      </c>
      <c r="E85" s="16"/>
      <c r="F85" s="16"/>
      <c r="G85" s="16"/>
      <c r="J85" s="17">
        <v>0.433</v>
      </c>
      <c r="K85" s="17"/>
      <c r="L85" s="17"/>
      <c r="M85" s="17">
        <v>0.017</v>
      </c>
      <c r="N85" s="17"/>
      <c r="O85" s="17">
        <f t="shared" si="2"/>
        <v>0.45</v>
      </c>
    </row>
    <row r="86" spans="2:15" ht="12.75" customHeight="1">
      <c r="B86" s="9" t="s">
        <v>385</v>
      </c>
      <c r="E86" s="16"/>
      <c r="F86" s="16"/>
      <c r="G86" s="16"/>
      <c r="J86" s="17">
        <v>0.006</v>
      </c>
      <c r="K86" s="17"/>
      <c r="L86" s="17"/>
      <c r="M86" s="17"/>
      <c r="N86" s="17"/>
      <c r="O86" s="17">
        <f t="shared" si="2"/>
        <v>0.006</v>
      </c>
    </row>
    <row r="87" spans="2:15" ht="12.75" customHeight="1">
      <c r="B87" s="9" t="s">
        <v>393</v>
      </c>
      <c r="E87" s="16"/>
      <c r="F87" s="16"/>
      <c r="G87" s="16"/>
      <c r="J87" s="17">
        <v>0.24399999999999997</v>
      </c>
      <c r="K87" s="17"/>
      <c r="L87" s="17"/>
      <c r="M87" s="17">
        <v>-0.035</v>
      </c>
      <c r="N87" s="17"/>
      <c r="O87" s="17">
        <f t="shared" si="2"/>
        <v>0.20899999999999996</v>
      </c>
    </row>
    <row r="88" spans="2:15" ht="12.75" customHeight="1">
      <c r="B88" s="9" t="s">
        <v>394</v>
      </c>
      <c r="E88" s="16"/>
      <c r="F88" s="16"/>
      <c r="G88" s="16"/>
      <c r="J88" s="17">
        <v>0.019</v>
      </c>
      <c r="K88" s="17"/>
      <c r="L88" s="17"/>
      <c r="M88" s="17"/>
      <c r="N88" s="17"/>
      <c r="O88" s="17">
        <f t="shared" si="2"/>
        <v>0.019</v>
      </c>
    </row>
    <row r="89" spans="5:15" ht="12" customHeight="1" outlineLevel="1">
      <c r="E89" s="16"/>
      <c r="F89" s="16"/>
      <c r="G89" s="16"/>
      <c r="I89" s="16"/>
      <c r="J89" s="17"/>
      <c r="K89" s="17"/>
      <c r="L89" s="17"/>
      <c r="M89" s="17"/>
      <c r="N89" s="17"/>
      <c r="O89" s="17"/>
    </row>
    <row r="90" spans="2:15" ht="12.75">
      <c r="B90" s="10" t="s">
        <v>31</v>
      </c>
      <c r="E90" s="16"/>
      <c r="F90" s="16"/>
      <c r="G90" s="16"/>
      <c r="H90" s="65" t="e">
        <f>SUM(#REF!)</f>
        <v>#REF!</v>
      </c>
      <c r="I90" s="44">
        <f>SUM(I71:I81)</f>
        <v>18.345</v>
      </c>
      <c r="J90" s="44">
        <f>SUM(J71:J89)</f>
        <v>22.671999999999993</v>
      </c>
      <c r="K90" s="44"/>
      <c r="L90" s="44"/>
      <c r="M90" s="44">
        <f>SUM(M71:M88)</f>
        <v>-0.133</v>
      </c>
      <c r="N90" s="44"/>
      <c r="O90" s="44">
        <f>SUM(O71:O88)</f>
        <v>22.538999999999994</v>
      </c>
    </row>
    <row r="91" spans="2:15" ht="6" customHeight="1">
      <c r="B91" s="10"/>
      <c r="E91" s="16"/>
      <c r="F91" s="16"/>
      <c r="G91" s="16"/>
      <c r="I91" s="16"/>
      <c r="J91" s="17"/>
      <c r="K91" s="17"/>
      <c r="L91" s="17"/>
      <c r="M91" s="17"/>
      <c r="N91" s="17"/>
      <c r="O91" s="17"/>
    </row>
    <row r="92" spans="5:15" ht="12" customHeight="1">
      <c r="E92" s="16"/>
      <c r="F92" s="16"/>
      <c r="G92" s="16"/>
      <c r="I92" s="16"/>
      <c r="J92" s="17"/>
      <c r="K92" s="17"/>
      <c r="L92" s="17"/>
      <c r="M92" s="17"/>
      <c r="N92" s="17"/>
      <c r="O92" s="17"/>
    </row>
    <row r="93" spans="2:15" ht="12.75">
      <c r="B93" s="10" t="s">
        <v>32</v>
      </c>
      <c r="E93" s="48"/>
      <c r="F93" s="48"/>
      <c r="G93" s="65">
        <f>G22+G67</f>
        <v>16.369999999999997</v>
      </c>
      <c r="H93" s="65" t="e">
        <f>H22+H60+F67+H90</f>
        <v>#REF!</v>
      </c>
      <c r="I93" s="65">
        <f>I22+I60+I90</f>
        <v>61.813</v>
      </c>
      <c r="J93" s="65">
        <f>J22+J60+J67+J90</f>
        <v>84.61099999999999</v>
      </c>
      <c r="K93" s="65"/>
      <c r="L93" s="65"/>
      <c r="M93" s="65">
        <f>M22+M60+M67+M90</f>
        <v>-0.3800000000000012</v>
      </c>
      <c r="N93" s="65"/>
      <c r="O93" s="65">
        <f>O22+O60+O67+O90</f>
        <v>84.231</v>
      </c>
    </row>
    <row r="94" spans="5:15" ht="6.75" customHeight="1" thickBot="1">
      <c r="E94" s="16"/>
      <c r="F94" s="16"/>
      <c r="G94" s="52"/>
      <c r="H94" s="52"/>
      <c r="I94" s="52"/>
      <c r="J94" s="97"/>
      <c r="K94" s="97"/>
      <c r="L94" s="97"/>
      <c r="M94" s="97"/>
      <c r="N94" s="97"/>
      <c r="O94" s="97"/>
    </row>
    <row r="95" ht="13.5" thickTop="1"/>
    <row r="96" ht="12.75">
      <c r="B96" s="9" t="s">
        <v>586</v>
      </c>
    </row>
    <row r="97" ht="12.75">
      <c r="O97" s="56"/>
    </row>
  </sheetData>
  <printOptions horizontalCentered="1"/>
  <pageMargins left="0" right="0.1968503937007874" top="0.5905511811023623" bottom="0.3937007874015748" header="0" footer="0"/>
  <pageSetup horizontalDpi="300" verticalDpi="300" orientation="portrait" paperSize="9" scale="95" r:id="rId1"/>
  <headerFooter alignWithMargins="0">
    <oddHeader>&amp;R&amp;"Arial,Bold"&amp;UAppendix  2
&amp;"Arial,Regular"&amp;U
</oddHeader>
    <oddFooter>&amp;L&amp;"Times New Roman,Regular"&amp;8&amp;F,&amp;A&amp;R&amp;"Times New Roman,Regular"&amp;8&amp;D</oddFooter>
  </headerFooter>
  <rowBreaks count="1" manualBreakCount="1">
    <brk id="68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104"/>
  <sheetViews>
    <sheetView workbookViewId="0" topLeftCell="A16">
      <selection activeCell="C51" sqref="C51"/>
    </sheetView>
  </sheetViews>
  <sheetFormatPr defaultColWidth="9.140625" defaultRowHeight="12.75"/>
  <cols>
    <col min="1" max="1" width="5.7109375" style="5" customWidth="1"/>
    <col min="2" max="2" width="40.7109375" style="9" customWidth="1"/>
    <col min="3" max="3" width="9.7109375" style="9" customWidth="1"/>
    <col min="4" max="4" width="3.140625" style="9" customWidth="1"/>
    <col min="5" max="5" width="7.140625" style="13" customWidth="1"/>
    <col min="6" max="6" width="9.28125" style="9" customWidth="1"/>
    <col min="7" max="7" width="11.421875" style="9" customWidth="1"/>
    <col min="8" max="8" width="24.7109375" style="5" bestFit="1" customWidth="1"/>
    <col min="9" max="21" width="5.7109375" style="5" customWidth="1"/>
  </cols>
  <sheetData>
    <row r="1" ht="12.75"/>
    <row r="2" spans="5:7" ht="12.75">
      <c r="E2" s="13" t="s">
        <v>620</v>
      </c>
      <c r="G2" s="14"/>
    </row>
    <row r="3" ht="7.5" customHeight="1"/>
    <row r="4" spans="2:4" ht="12.75">
      <c r="B4" s="12" t="s">
        <v>269</v>
      </c>
      <c r="D4" s="11"/>
    </row>
    <row r="5" spans="3:4" ht="6.75" customHeight="1">
      <c r="C5" s="11"/>
      <c r="D5" s="11"/>
    </row>
    <row r="6" ht="10.5" customHeight="1"/>
    <row r="7" spans="2:8" ht="12.75">
      <c r="B7" s="22" t="s">
        <v>2</v>
      </c>
      <c r="C7" s="12" t="s">
        <v>3</v>
      </c>
      <c r="D7" s="12"/>
      <c r="F7" s="12" t="s">
        <v>4</v>
      </c>
      <c r="G7" s="68"/>
      <c r="H7" s="6"/>
    </row>
    <row r="8" spans="2:8" ht="12.75">
      <c r="B8" s="10"/>
      <c r="C8" s="12" t="s">
        <v>5</v>
      </c>
      <c r="D8" s="12"/>
      <c r="E8" s="12" t="s">
        <v>50</v>
      </c>
      <c r="F8" s="12" t="s">
        <v>6</v>
      </c>
      <c r="G8" s="10"/>
      <c r="H8" s="7"/>
    </row>
    <row r="9" spans="2:8" ht="12.75">
      <c r="B9" s="10"/>
      <c r="C9" s="12" t="s">
        <v>7</v>
      </c>
      <c r="D9" s="12"/>
      <c r="E9" s="12" t="s">
        <v>42</v>
      </c>
      <c r="F9" s="12" t="s">
        <v>8</v>
      </c>
      <c r="G9" s="10"/>
      <c r="H9" s="7"/>
    </row>
    <row r="10" spans="2:8" ht="9.75" customHeight="1">
      <c r="B10" s="10"/>
      <c r="C10" s="10"/>
      <c r="D10" s="10"/>
      <c r="E10" s="12"/>
      <c r="F10" s="10"/>
      <c r="G10" s="10"/>
      <c r="H10" s="7"/>
    </row>
    <row r="11" spans="2:8" ht="12.75">
      <c r="B11" s="8" t="s">
        <v>9</v>
      </c>
      <c r="C11" s="10"/>
      <c r="D11" s="10"/>
      <c r="E11" s="12"/>
      <c r="F11" s="10"/>
      <c r="G11" s="10"/>
      <c r="H11" s="7"/>
    </row>
    <row r="12" spans="2:8" ht="7.5" customHeight="1">
      <c r="B12" s="10"/>
      <c r="C12" s="10"/>
      <c r="D12" s="10"/>
      <c r="E12" s="12"/>
      <c r="F12" s="10"/>
      <c r="G12" s="10"/>
      <c r="H12" s="7"/>
    </row>
    <row r="13" spans="2:8" ht="12.75">
      <c r="B13" s="10" t="s">
        <v>10</v>
      </c>
      <c r="C13" s="41">
        <v>16337</v>
      </c>
      <c r="D13" s="41"/>
      <c r="E13" s="13">
        <v>25</v>
      </c>
      <c r="F13" s="69">
        <f>C13*0.25</f>
        <v>4084.25</v>
      </c>
      <c r="G13" s="10"/>
      <c r="H13" s="7"/>
    </row>
    <row r="14" spans="2:8" ht="12.75">
      <c r="B14" s="10"/>
      <c r="C14" s="41"/>
      <c r="D14" s="41"/>
      <c r="F14" s="69"/>
      <c r="G14" s="10"/>
      <c r="H14" s="7"/>
    </row>
    <row r="15" spans="2:8" ht="12.75">
      <c r="B15" s="10" t="s">
        <v>58</v>
      </c>
      <c r="C15" s="41"/>
      <c r="D15" s="41"/>
      <c r="F15" s="69"/>
      <c r="G15" s="10"/>
      <c r="H15" s="7"/>
    </row>
    <row r="16" spans="2:8" ht="12.75">
      <c r="B16" s="9" t="s">
        <v>154</v>
      </c>
      <c r="C16" s="9">
        <v>34</v>
      </c>
      <c r="F16" s="9">
        <v>34</v>
      </c>
      <c r="G16" s="10"/>
      <c r="H16" s="7"/>
    </row>
    <row r="17" spans="2:8" ht="12.75">
      <c r="B17" s="9" t="s">
        <v>615</v>
      </c>
      <c r="C17" s="9">
        <v>14</v>
      </c>
      <c r="F17" s="9">
        <v>14</v>
      </c>
      <c r="G17" s="10"/>
      <c r="H17" s="7"/>
    </row>
    <row r="18" spans="2:8" ht="12.75">
      <c r="B18" s="9" t="s">
        <v>619</v>
      </c>
      <c r="C18" s="9">
        <v>48</v>
      </c>
      <c r="F18" s="9">
        <v>48</v>
      </c>
      <c r="G18" s="10"/>
      <c r="H18" s="7"/>
    </row>
    <row r="19" spans="7:8" ht="12.75">
      <c r="G19" s="10"/>
      <c r="H19" s="7"/>
    </row>
    <row r="20" spans="2:8" ht="12.75">
      <c r="B20" s="70" t="s">
        <v>1</v>
      </c>
      <c r="G20" s="10"/>
      <c r="H20" s="7"/>
    </row>
    <row r="21" spans="2:8" ht="12.75">
      <c r="B21" s="15" t="s">
        <v>396</v>
      </c>
      <c r="C21" s="9">
        <v>252</v>
      </c>
      <c r="F21" s="9">
        <v>252</v>
      </c>
      <c r="G21" s="10"/>
      <c r="H21" s="7"/>
    </row>
    <row r="22" spans="2:8" ht="12.75">
      <c r="B22" s="15" t="s">
        <v>266</v>
      </c>
      <c r="C22" s="9">
        <v>195</v>
      </c>
      <c r="F22" s="9">
        <v>195</v>
      </c>
      <c r="G22" s="10"/>
      <c r="H22" s="7"/>
    </row>
    <row r="23" spans="2:8" ht="12.75">
      <c r="B23" s="15" t="s">
        <v>397</v>
      </c>
      <c r="C23" s="9">
        <v>138</v>
      </c>
      <c r="F23" s="9">
        <v>138</v>
      </c>
      <c r="G23" s="10"/>
      <c r="H23" s="7"/>
    </row>
    <row r="24" spans="2:8" ht="12.75">
      <c r="B24" s="15" t="s">
        <v>267</v>
      </c>
      <c r="C24" s="9">
        <v>65</v>
      </c>
      <c r="F24" s="9">
        <v>65</v>
      </c>
      <c r="G24" s="10"/>
      <c r="H24" s="7"/>
    </row>
    <row r="25" spans="2:8" ht="12.75">
      <c r="B25" s="15" t="s">
        <v>616</v>
      </c>
      <c r="C25" s="9">
        <f>75+45</f>
        <v>120</v>
      </c>
      <c r="F25" s="9">
        <v>120</v>
      </c>
      <c r="G25" s="10"/>
      <c r="H25" s="7"/>
    </row>
    <row r="26" spans="2:8" ht="12.75">
      <c r="B26" s="15" t="s">
        <v>617</v>
      </c>
      <c r="C26" s="9">
        <v>187</v>
      </c>
      <c r="F26" s="9">
        <v>187</v>
      </c>
      <c r="G26" s="10"/>
      <c r="H26" s="7"/>
    </row>
    <row r="27" spans="2:8" ht="12.75">
      <c r="B27" s="15" t="s">
        <v>618</v>
      </c>
      <c r="C27" s="9">
        <v>225</v>
      </c>
      <c r="F27" s="9">
        <v>225</v>
      </c>
      <c r="G27" s="10"/>
      <c r="H27" s="7"/>
    </row>
    <row r="28" spans="2:8" ht="12.75">
      <c r="B28" s="15" t="s">
        <v>268</v>
      </c>
      <c r="C28" s="9">
        <v>86</v>
      </c>
      <c r="E28" s="13">
        <v>25</v>
      </c>
      <c r="F28" s="9">
        <v>22</v>
      </c>
      <c r="G28" s="10"/>
      <c r="H28" s="7"/>
    </row>
    <row r="29" spans="2:8" ht="12.75">
      <c r="B29" s="15" t="s">
        <v>398</v>
      </c>
      <c r="C29" s="9">
        <v>8</v>
      </c>
      <c r="F29" s="9">
        <v>8</v>
      </c>
      <c r="G29" s="10"/>
      <c r="H29" s="7"/>
    </row>
    <row r="30" spans="2:8" ht="12.75">
      <c r="B30" s="9" t="s">
        <v>413</v>
      </c>
      <c r="C30" s="9">
        <v>48</v>
      </c>
      <c r="D30" s="10"/>
      <c r="E30" s="12"/>
      <c r="F30" s="9">
        <v>48</v>
      </c>
      <c r="G30" s="10"/>
      <c r="H30" s="7"/>
    </row>
    <row r="31" spans="2:8" ht="11.25" customHeight="1">
      <c r="B31" s="9" t="s">
        <v>420</v>
      </c>
      <c r="C31" s="9">
        <v>1485</v>
      </c>
      <c r="F31" s="9">
        <v>1485</v>
      </c>
      <c r="G31" s="10"/>
      <c r="H31" s="7"/>
    </row>
    <row r="32" spans="2:8" ht="11.25" customHeight="1">
      <c r="B32" s="9" t="s">
        <v>492</v>
      </c>
      <c r="C32" s="9">
        <v>38</v>
      </c>
      <c r="F32" s="9">
        <v>38</v>
      </c>
      <c r="G32" s="10"/>
      <c r="H32" s="7"/>
    </row>
    <row r="33" spans="7:8" ht="8.25" customHeight="1">
      <c r="G33" s="10"/>
      <c r="H33" s="7"/>
    </row>
    <row r="34" spans="2:8" ht="12.75">
      <c r="B34" s="10" t="s">
        <v>11</v>
      </c>
      <c r="C34" s="71">
        <f>SUM(C13:C32)</f>
        <v>19280</v>
      </c>
      <c r="D34" s="71"/>
      <c r="E34" s="72"/>
      <c r="F34" s="71">
        <f>SUM(F13:F32)</f>
        <v>6963.25</v>
      </c>
      <c r="G34" s="10"/>
      <c r="H34" s="7"/>
    </row>
    <row r="35" spans="2:8" ht="12.75">
      <c r="B35" s="10"/>
      <c r="C35" s="10"/>
      <c r="D35" s="10"/>
      <c r="E35" s="12"/>
      <c r="F35" s="10"/>
      <c r="G35" s="10"/>
      <c r="H35" s="7"/>
    </row>
    <row r="36" ht="12.75">
      <c r="B36" s="8" t="s">
        <v>12</v>
      </c>
    </row>
    <row r="37" ht="12.75">
      <c r="B37" s="8"/>
    </row>
    <row r="38" spans="2:6" ht="12.75">
      <c r="B38" s="10" t="s">
        <v>10</v>
      </c>
      <c r="C38" s="41">
        <f>18000-C13</f>
        <v>1663</v>
      </c>
      <c r="E38" s="13">
        <v>25</v>
      </c>
      <c r="F38" s="69">
        <f>C38*0.25</f>
        <v>415.75</v>
      </c>
    </row>
    <row r="39" ht="12.75">
      <c r="B39" s="8"/>
    </row>
    <row r="40" spans="2:6" ht="12.75">
      <c r="B40" s="10" t="s">
        <v>155</v>
      </c>
      <c r="C40" s="9">
        <f>18+60+73+70</f>
        <v>221</v>
      </c>
      <c r="F40" s="9">
        <f>C40</f>
        <v>221</v>
      </c>
    </row>
    <row r="41" ht="12.75">
      <c r="B41" s="8"/>
    </row>
    <row r="42" spans="2:6" ht="12.75">
      <c r="B42" s="70" t="s">
        <v>1</v>
      </c>
      <c r="C42" s="69">
        <f>1614-250-500</f>
        <v>864</v>
      </c>
      <c r="D42" s="69"/>
      <c r="E42" s="73">
        <v>100</v>
      </c>
      <c r="F42" s="9">
        <f>C42</f>
        <v>864</v>
      </c>
    </row>
    <row r="43" spans="3:6" ht="12.75">
      <c r="C43" s="69"/>
      <c r="D43" s="69"/>
      <c r="E43" s="73"/>
      <c r="F43" s="69"/>
    </row>
    <row r="44" spans="2:6" ht="12.75">
      <c r="B44" s="10" t="s">
        <v>13</v>
      </c>
      <c r="C44" s="74">
        <f>SUM(C38:C42)</f>
        <v>2748</v>
      </c>
      <c r="D44" s="74"/>
      <c r="E44" s="75"/>
      <c r="F44" s="74">
        <f>SUM(F38:F42)</f>
        <v>1500.75</v>
      </c>
    </row>
    <row r="45" spans="3:6" ht="10.5" customHeight="1">
      <c r="C45" s="76"/>
      <c r="D45" s="76"/>
      <c r="E45" s="77"/>
      <c r="F45" s="76"/>
    </row>
    <row r="46" spans="2:6" ht="12.75">
      <c r="B46" s="10" t="s">
        <v>14</v>
      </c>
      <c r="C46" s="80">
        <f>C34+C44</f>
        <v>22028</v>
      </c>
      <c r="D46" s="80"/>
      <c r="E46" s="81"/>
      <c r="F46" s="80">
        <f>F34+F44</f>
        <v>8464</v>
      </c>
    </row>
    <row r="47" spans="3:6" ht="12.75">
      <c r="C47" s="69"/>
      <c r="D47" s="69"/>
      <c r="E47" s="73"/>
      <c r="F47" s="69"/>
    </row>
    <row r="48" spans="2:6" ht="12.75">
      <c r="B48" s="10" t="s">
        <v>407</v>
      </c>
      <c r="C48" s="69"/>
      <c r="D48" s="69"/>
      <c r="E48" s="73"/>
      <c r="F48" s="76">
        <v>200</v>
      </c>
    </row>
    <row r="49" spans="3:6" ht="12.75">
      <c r="C49" s="69"/>
      <c r="D49" s="69"/>
      <c r="E49" s="73"/>
      <c r="F49" s="69"/>
    </row>
    <row r="50" spans="2:6" ht="13.5" thickBot="1">
      <c r="B50" s="10" t="s">
        <v>408</v>
      </c>
      <c r="C50" s="69"/>
      <c r="D50" s="69"/>
      <c r="E50" s="73"/>
      <c r="F50" s="274">
        <f>F46-F48</f>
        <v>8264</v>
      </c>
    </row>
    <row r="51" spans="3:6" ht="13.5" thickTop="1">
      <c r="C51" s="69"/>
      <c r="D51" s="69"/>
      <c r="E51" s="73"/>
      <c r="F51" s="69"/>
    </row>
    <row r="52" spans="3:6" ht="12.75">
      <c r="C52" s="69"/>
      <c r="D52" s="69"/>
      <c r="E52" s="73"/>
      <c r="F52" s="69"/>
    </row>
    <row r="53" spans="3:6" ht="12.75">
      <c r="C53" s="69"/>
      <c r="D53" s="69"/>
      <c r="E53" s="73"/>
      <c r="F53" s="69"/>
    </row>
    <row r="54" spans="3:6" ht="12.75">
      <c r="C54" s="69"/>
      <c r="D54" s="69"/>
      <c r="E54" s="73"/>
      <c r="F54" s="69"/>
    </row>
    <row r="55" spans="3:6" ht="12.75">
      <c r="C55" s="69"/>
      <c r="D55" s="69"/>
      <c r="E55" s="73"/>
      <c r="F55" s="69"/>
    </row>
    <row r="56" spans="3:6" ht="12.75">
      <c r="C56" s="69"/>
      <c r="D56" s="69"/>
      <c r="E56" s="73"/>
      <c r="F56" s="69"/>
    </row>
    <row r="57" spans="3:6" ht="12.75">
      <c r="C57" s="69"/>
      <c r="D57" s="69"/>
      <c r="E57" s="73"/>
      <c r="F57" s="69"/>
    </row>
    <row r="58" spans="3:6" ht="12.75">
      <c r="C58" s="69"/>
      <c r="D58" s="69"/>
      <c r="E58" s="73"/>
      <c r="F58" s="69"/>
    </row>
    <row r="59" spans="3:6" ht="12.75">
      <c r="C59" s="69"/>
      <c r="D59" s="69"/>
      <c r="E59" s="73"/>
      <c r="F59" s="69"/>
    </row>
    <row r="60" spans="3:6" ht="12.75">
      <c r="C60" s="69"/>
      <c r="D60" s="69"/>
      <c r="E60" s="73"/>
      <c r="F60" s="69"/>
    </row>
    <row r="61" spans="3:6" ht="12.75">
      <c r="C61" s="69"/>
      <c r="D61" s="69"/>
      <c r="E61" s="73"/>
      <c r="F61" s="69"/>
    </row>
    <row r="62" spans="3:6" ht="12.75">
      <c r="C62" s="69"/>
      <c r="D62" s="69"/>
      <c r="E62" s="73"/>
      <c r="F62" s="69"/>
    </row>
    <row r="63" spans="3:6" ht="12.75">
      <c r="C63" s="69"/>
      <c r="D63" s="69"/>
      <c r="E63" s="73"/>
      <c r="F63" s="69"/>
    </row>
    <row r="64" spans="3:6" ht="12.75">
      <c r="C64" s="69"/>
      <c r="D64" s="69"/>
      <c r="E64" s="73"/>
      <c r="F64" s="69"/>
    </row>
    <row r="65" spans="3:6" ht="12.75">
      <c r="C65" s="69"/>
      <c r="D65" s="69"/>
      <c r="E65" s="73"/>
      <c r="F65" s="69"/>
    </row>
    <row r="66" spans="3:6" ht="12.75">
      <c r="C66" s="69"/>
      <c r="D66" s="69"/>
      <c r="E66" s="73"/>
      <c r="F66" s="69"/>
    </row>
    <row r="67" spans="3:6" ht="12.75">
      <c r="C67" s="69"/>
      <c r="D67" s="69"/>
      <c r="E67" s="73"/>
      <c r="F67" s="69"/>
    </row>
    <row r="68" spans="3:6" ht="12.75">
      <c r="C68" s="69"/>
      <c r="D68" s="69"/>
      <c r="E68" s="73"/>
      <c r="F68" s="69"/>
    </row>
    <row r="69" spans="3:6" ht="12.75">
      <c r="C69" s="69"/>
      <c r="D69" s="69"/>
      <c r="E69" s="73"/>
      <c r="F69" s="69"/>
    </row>
    <row r="70" spans="3:6" ht="12.75">
      <c r="C70" s="69"/>
      <c r="D70" s="69"/>
      <c r="E70" s="73"/>
      <c r="F70" s="69"/>
    </row>
    <row r="71" spans="3:7" ht="12.75">
      <c r="C71" s="69"/>
      <c r="D71" s="69"/>
      <c r="E71" s="73"/>
      <c r="F71" s="69"/>
      <c r="G71" s="78"/>
    </row>
    <row r="72" spans="2:6" ht="12.75">
      <c r="B72" s="67"/>
      <c r="C72" s="69"/>
      <c r="D72" s="69"/>
      <c r="E72" s="73"/>
      <c r="F72" s="69"/>
    </row>
    <row r="73" spans="2:6" ht="12.75">
      <c r="B73" s="15"/>
      <c r="C73" s="69"/>
      <c r="D73" s="69"/>
      <c r="E73" s="73"/>
      <c r="F73" s="69"/>
    </row>
    <row r="74" spans="3:6" ht="12.75">
      <c r="C74" s="69"/>
      <c r="D74" s="69"/>
      <c r="E74" s="73"/>
      <c r="F74" s="69"/>
    </row>
    <row r="75" spans="2:6" ht="12.75">
      <c r="B75" s="15"/>
      <c r="C75" s="79"/>
      <c r="D75" s="79"/>
      <c r="E75" s="73"/>
      <c r="F75" s="69"/>
    </row>
    <row r="76" spans="2:6" ht="12.75">
      <c r="B76" s="67"/>
      <c r="C76" s="79"/>
      <c r="D76" s="79"/>
      <c r="E76" s="73"/>
      <c r="F76" s="69"/>
    </row>
    <row r="77" spans="2:6" ht="12.75">
      <c r="B77" s="67"/>
      <c r="C77" s="79"/>
      <c r="D77" s="79"/>
      <c r="E77" s="73"/>
      <c r="F77" s="69"/>
    </row>
    <row r="78" spans="2:6" ht="12.75">
      <c r="B78" s="67"/>
      <c r="C78" s="79"/>
      <c r="D78" s="79"/>
      <c r="E78" s="73"/>
      <c r="F78" s="69"/>
    </row>
    <row r="79" spans="2:7" ht="12.75">
      <c r="B79" s="15"/>
      <c r="C79" s="69"/>
      <c r="D79" s="69"/>
      <c r="E79" s="73"/>
      <c r="F79" s="69"/>
      <c r="G79" s="78"/>
    </row>
    <row r="80" spans="2:6" ht="12.75">
      <c r="B80" s="67"/>
      <c r="C80" s="79"/>
      <c r="D80" s="79"/>
      <c r="E80" s="73"/>
      <c r="F80" s="69"/>
    </row>
    <row r="81" spans="2:6" ht="12.75">
      <c r="B81" s="67"/>
      <c r="C81" s="79"/>
      <c r="D81" s="79"/>
      <c r="E81" s="73"/>
      <c r="F81" s="69"/>
    </row>
    <row r="82" spans="2:6" ht="12.75">
      <c r="B82" s="67"/>
      <c r="C82" s="69"/>
      <c r="D82" s="69"/>
      <c r="E82" s="73"/>
      <c r="F82" s="69"/>
    </row>
    <row r="83" spans="2:7" ht="12.75">
      <c r="B83" s="67"/>
      <c r="C83" s="79"/>
      <c r="D83" s="79"/>
      <c r="E83" s="73"/>
      <c r="F83" s="69"/>
      <c r="G83" s="78"/>
    </row>
    <row r="84" spans="2:7" ht="12.75">
      <c r="B84" s="15"/>
      <c r="C84" s="69"/>
      <c r="D84" s="69"/>
      <c r="E84" s="73"/>
      <c r="F84" s="69"/>
      <c r="G84" s="78"/>
    </row>
    <row r="85" spans="2:7" ht="12.75">
      <c r="B85" s="15"/>
      <c r="C85" s="79"/>
      <c r="D85" s="79"/>
      <c r="E85" s="73"/>
      <c r="F85" s="69"/>
      <c r="G85" s="78"/>
    </row>
    <row r="86" spans="2:7" ht="12.75">
      <c r="B86" s="15"/>
      <c r="C86" s="69"/>
      <c r="D86" s="69"/>
      <c r="E86" s="73"/>
      <c r="F86" s="69"/>
      <c r="G86" s="78"/>
    </row>
    <row r="87" spans="2:7" ht="12.75">
      <c r="B87" s="67"/>
      <c r="C87" s="79"/>
      <c r="D87" s="79"/>
      <c r="E87" s="73"/>
      <c r="F87" s="69"/>
      <c r="G87" s="78"/>
    </row>
    <row r="88" spans="2:7" ht="12.75">
      <c r="B88" s="67"/>
      <c r="C88" s="79"/>
      <c r="D88" s="79"/>
      <c r="E88" s="73"/>
      <c r="F88" s="69"/>
      <c r="G88" s="78"/>
    </row>
    <row r="89" spans="2:7" ht="12.75">
      <c r="B89" s="15"/>
      <c r="C89" s="69"/>
      <c r="D89" s="69"/>
      <c r="E89" s="73"/>
      <c r="F89" s="69"/>
      <c r="G89" s="78"/>
    </row>
    <row r="90" spans="2:7" ht="12.75">
      <c r="B90" s="15"/>
      <c r="C90" s="69"/>
      <c r="D90" s="69"/>
      <c r="E90" s="73"/>
      <c r="F90" s="69"/>
      <c r="G90" s="78"/>
    </row>
    <row r="91" spans="2:7" ht="12.75">
      <c r="B91" s="15"/>
      <c r="C91" s="69"/>
      <c r="D91" s="69"/>
      <c r="E91" s="73"/>
      <c r="F91" s="69"/>
      <c r="G91" s="78"/>
    </row>
    <row r="92" spans="2:7" ht="12.75">
      <c r="B92" s="67"/>
      <c r="C92" s="79"/>
      <c r="D92" s="79"/>
      <c r="E92" s="73"/>
      <c r="F92" s="69"/>
      <c r="G92" s="78"/>
    </row>
    <row r="93" spans="2:7" ht="12.75">
      <c r="B93" s="15"/>
      <c r="C93" s="69"/>
      <c r="D93" s="69"/>
      <c r="E93" s="73"/>
      <c r="F93" s="69"/>
      <c r="G93" s="78"/>
    </row>
    <row r="94" spans="2:7" ht="12.75">
      <c r="B94" s="15"/>
      <c r="C94" s="69"/>
      <c r="D94" s="69"/>
      <c r="E94" s="73"/>
      <c r="F94" s="69"/>
      <c r="G94" s="78"/>
    </row>
    <row r="95" spans="2:7" ht="12.75">
      <c r="B95" s="67"/>
      <c r="C95" s="79"/>
      <c r="D95" s="79"/>
      <c r="E95" s="73"/>
      <c r="F95" s="69"/>
      <c r="G95" s="78"/>
    </row>
    <row r="96" spans="2:7" ht="12.75">
      <c r="B96" s="15"/>
      <c r="C96" s="69"/>
      <c r="D96" s="69"/>
      <c r="E96" s="73"/>
      <c r="F96" s="69"/>
      <c r="G96" s="78"/>
    </row>
    <row r="97" spans="2:7" ht="12.75">
      <c r="B97" s="15"/>
      <c r="C97" s="69"/>
      <c r="D97" s="69"/>
      <c r="E97" s="73"/>
      <c r="F97" s="69"/>
      <c r="G97" s="78"/>
    </row>
    <row r="98" spans="2:7" ht="12.75">
      <c r="B98" s="67"/>
      <c r="C98" s="79"/>
      <c r="D98" s="79"/>
      <c r="E98" s="73"/>
      <c r="F98" s="69"/>
      <c r="G98" s="78"/>
    </row>
    <row r="99" spans="2:7" ht="12.75">
      <c r="B99" s="15"/>
      <c r="C99" s="79"/>
      <c r="D99" s="79"/>
      <c r="E99" s="73"/>
      <c r="F99" s="69"/>
      <c r="G99" s="78"/>
    </row>
    <row r="100" spans="2:7" ht="12.75">
      <c r="B100" s="15"/>
      <c r="C100" s="69"/>
      <c r="D100" s="69"/>
      <c r="E100" s="73"/>
      <c r="F100" s="69"/>
      <c r="G100" s="78"/>
    </row>
    <row r="101" spans="2:7" ht="12.75">
      <c r="B101" s="15"/>
      <c r="C101" s="79"/>
      <c r="D101" s="79"/>
      <c r="E101" s="73"/>
      <c r="F101" s="69"/>
      <c r="G101" s="78"/>
    </row>
    <row r="102" spans="2:7" ht="12.75">
      <c r="B102" s="15"/>
      <c r="C102" s="79"/>
      <c r="D102" s="79"/>
      <c r="E102" s="73"/>
      <c r="F102" s="69"/>
      <c r="G102" s="78"/>
    </row>
    <row r="103" spans="2:7" ht="12.75">
      <c r="B103" s="15"/>
      <c r="C103" s="79"/>
      <c r="D103" s="79"/>
      <c r="E103" s="73"/>
      <c r="F103" s="69"/>
      <c r="G103" s="78"/>
    </row>
    <row r="104" spans="2:7" ht="12.75">
      <c r="B104" s="15"/>
      <c r="C104" s="79"/>
      <c r="D104" s="79"/>
      <c r="E104" s="73"/>
      <c r="F104" s="69"/>
      <c r="G104" s="78"/>
    </row>
  </sheetData>
  <printOptions horizontalCentered="1"/>
  <pageMargins left="0.15748031496062992" right="0.15748031496062992" top="0.3937007874015748" bottom="0.3937007874015748" header="0" footer="0.31496062992125984"/>
  <pageSetup horizontalDpi="300" verticalDpi="300" orientation="portrait" paperSize="9" r:id="rId3"/>
  <headerFooter alignWithMargins="0">
    <oddHeader>&amp;R&amp;"Arial,Bold"&amp;UAppendix 3</oddHeader>
    <oddFooter>&amp;L&amp;F&amp;R&amp;D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4" sqref="A4"/>
    </sheetView>
  </sheetViews>
  <sheetFormatPr defaultColWidth="9.140625" defaultRowHeight="12.75"/>
  <cols>
    <col min="1" max="1" width="32.8515625" style="0" customWidth="1"/>
    <col min="2" max="2" width="18.140625" style="0" customWidth="1"/>
    <col min="3" max="3" width="26.7109375" style="0" customWidth="1"/>
    <col min="4" max="4" width="21.140625" style="0" customWidth="1"/>
    <col min="5" max="5" width="26.8515625" style="0" customWidth="1"/>
  </cols>
  <sheetData>
    <row r="1" ht="15.75">
      <c r="A1" s="315" t="s">
        <v>621</v>
      </c>
    </row>
    <row r="2" ht="15.75">
      <c r="A2" s="315" t="s">
        <v>622</v>
      </c>
    </row>
    <row r="3" ht="15.75">
      <c r="A3" s="316"/>
    </row>
    <row r="4" spans="1:5" ht="31.5">
      <c r="A4" s="317" t="s">
        <v>623</v>
      </c>
      <c r="B4" s="318" t="s">
        <v>624</v>
      </c>
      <c r="C4" s="318" t="s">
        <v>625</v>
      </c>
      <c r="D4" s="318" t="s">
        <v>626</v>
      </c>
      <c r="E4" s="318" t="s">
        <v>627</v>
      </c>
    </row>
    <row r="5" spans="1:5" ht="10.5" customHeight="1">
      <c r="A5" s="319"/>
      <c r="B5" s="320"/>
      <c r="C5" s="320"/>
      <c r="D5" s="320"/>
      <c r="E5" s="320"/>
    </row>
    <row r="6" spans="1:5" ht="34.5" customHeight="1">
      <c r="A6" s="319" t="s">
        <v>628</v>
      </c>
      <c r="B6" s="321">
        <v>200000</v>
      </c>
      <c r="C6" s="320"/>
      <c r="D6" s="322" t="s">
        <v>629</v>
      </c>
      <c r="E6" s="322" t="s">
        <v>630</v>
      </c>
    </row>
    <row r="7" spans="1:5" ht="34.5" customHeight="1">
      <c r="A7" s="319" t="s">
        <v>397</v>
      </c>
      <c r="B7" s="321">
        <v>138000</v>
      </c>
      <c r="C7" s="320"/>
      <c r="D7" s="322" t="s">
        <v>629</v>
      </c>
      <c r="E7" s="322" t="s">
        <v>631</v>
      </c>
    </row>
    <row r="8" spans="1:5" ht="34.5" customHeight="1">
      <c r="A8" s="319" t="s">
        <v>632</v>
      </c>
      <c r="B8" s="321">
        <v>187000</v>
      </c>
      <c r="C8" s="320"/>
      <c r="D8" s="322" t="s">
        <v>633</v>
      </c>
      <c r="E8" s="322" t="s">
        <v>634</v>
      </c>
    </row>
    <row r="9" spans="1:5" ht="34.5" customHeight="1">
      <c r="A9" s="319" t="s">
        <v>635</v>
      </c>
      <c r="B9" s="321">
        <v>252000</v>
      </c>
      <c r="C9" s="320"/>
      <c r="D9" s="322" t="s">
        <v>636</v>
      </c>
      <c r="E9" s="322" t="s">
        <v>637</v>
      </c>
    </row>
    <row r="10" spans="1:5" ht="34.5" customHeight="1">
      <c r="A10" s="319" t="s">
        <v>638</v>
      </c>
      <c r="B10" s="321">
        <v>1485000</v>
      </c>
      <c r="C10" s="320"/>
      <c r="D10" s="322"/>
      <c r="E10" s="322" t="s">
        <v>639</v>
      </c>
    </row>
    <row r="11" spans="1:5" ht="34.5" customHeight="1">
      <c r="A11" s="319" t="s">
        <v>640</v>
      </c>
      <c r="B11" s="321">
        <v>225000</v>
      </c>
      <c r="C11" s="320"/>
      <c r="D11" s="322" t="s">
        <v>641</v>
      </c>
      <c r="E11" s="322" t="s">
        <v>642</v>
      </c>
    </row>
    <row r="12" spans="1:5" ht="34.5" customHeight="1">
      <c r="A12" s="319" t="s">
        <v>643</v>
      </c>
      <c r="B12" s="321">
        <v>550000</v>
      </c>
      <c r="C12" s="320"/>
      <c r="D12" s="322" t="s">
        <v>644</v>
      </c>
      <c r="E12" s="323">
        <v>38047</v>
      </c>
    </row>
    <row r="13" spans="1:5" ht="34.5" customHeight="1">
      <c r="A13" s="319" t="s">
        <v>645</v>
      </c>
      <c r="B13" s="321">
        <v>105000</v>
      </c>
      <c r="C13" s="320"/>
      <c r="D13" s="320"/>
      <c r="E13" s="323">
        <v>38047</v>
      </c>
    </row>
    <row r="14" spans="1:5" ht="34.5" customHeight="1">
      <c r="A14" s="319" t="s">
        <v>646</v>
      </c>
      <c r="B14" s="321">
        <v>100000</v>
      </c>
      <c r="C14" s="320"/>
      <c r="D14" s="320"/>
      <c r="E14" s="323">
        <v>38047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&amp;R&amp;"Arial,Bold"&amp;UAppendix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F19" sqref="F19"/>
    </sheetView>
  </sheetViews>
  <sheetFormatPr defaultColWidth="9.140625" defaultRowHeight="12.75"/>
  <cols>
    <col min="1" max="1" width="5.7109375" style="5" customWidth="1"/>
    <col min="2" max="2" width="12.8515625" style="9" customWidth="1"/>
    <col min="3" max="5" width="5.7109375" style="9" customWidth="1"/>
    <col min="6" max="6" width="26.8515625" style="9" customWidth="1"/>
    <col min="7" max="7" width="8.140625" style="9" customWidth="1"/>
    <col min="8" max="8" width="3.421875" style="9" customWidth="1"/>
    <col min="9" max="9" width="8.421875" style="9" customWidth="1"/>
    <col min="10" max="10" width="2.8515625" style="9" customWidth="1"/>
    <col min="11" max="11" width="8.140625" style="9" customWidth="1"/>
    <col min="12" max="12" width="2.421875" style="5" customWidth="1"/>
    <col min="13" max="13" width="37.7109375" style="5" customWidth="1"/>
    <col min="14" max="14" width="5.7109375" style="5" customWidth="1"/>
    <col min="15" max="15" width="11.8515625" style="5" customWidth="1"/>
    <col min="16" max="17" width="5.7109375" style="5" customWidth="1"/>
  </cols>
  <sheetData>
    <row r="3" ht="12.75">
      <c r="B3" s="8" t="s">
        <v>583</v>
      </c>
    </row>
    <row r="4" ht="12.75">
      <c r="B4" s="10"/>
    </row>
    <row r="6" spans="2:13" ht="12.75">
      <c r="B6" s="8" t="s">
        <v>59</v>
      </c>
      <c r="G6" s="10"/>
      <c r="I6" s="11" t="s">
        <v>60</v>
      </c>
      <c r="J6" s="10"/>
      <c r="K6" s="10"/>
      <c r="M6" s="11" t="s">
        <v>61</v>
      </c>
    </row>
    <row r="7" spans="2:11" ht="6" customHeight="1">
      <c r="B7" s="8"/>
      <c r="G7" s="10"/>
      <c r="H7" s="12"/>
      <c r="I7" s="10"/>
      <c r="J7" s="10"/>
      <c r="K7" s="10"/>
    </row>
    <row r="8" spans="7:13" ht="12" customHeight="1">
      <c r="G8" s="11" t="s">
        <v>64</v>
      </c>
      <c r="H8" s="8"/>
      <c r="I8" s="11" t="s">
        <v>156</v>
      </c>
      <c r="J8" s="8"/>
      <c r="K8" s="11" t="s">
        <v>51</v>
      </c>
      <c r="M8" s="11" t="s">
        <v>62</v>
      </c>
    </row>
    <row r="9" spans="7:11" ht="12" customHeight="1">
      <c r="G9" s="11"/>
      <c r="H9" s="8"/>
      <c r="I9" s="11" t="s">
        <v>63</v>
      </c>
      <c r="J9" s="8"/>
      <c r="K9" s="11"/>
    </row>
    <row r="10" spans="7:11" ht="12.75">
      <c r="G10" s="12" t="s">
        <v>41</v>
      </c>
      <c r="H10" s="10"/>
      <c r="I10" s="12" t="s">
        <v>41</v>
      </c>
      <c r="J10" s="10"/>
      <c r="K10" s="12" t="s">
        <v>41</v>
      </c>
    </row>
    <row r="11" spans="7:11" ht="12.75">
      <c r="G11" s="13"/>
      <c r="I11" s="13"/>
      <c r="K11" s="13"/>
    </row>
    <row r="12" spans="2:13" ht="12.75">
      <c r="B12" s="8" t="s">
        <v>157</v>
      </c>
      <c r="G12" s="91"/>
      <c r="H12" s="14"/>
      <c r="I12" s="90"/>
      <c r="J12" s="14"/>
      <c r="K12" s="90"/>
      <c r="M12" s="9"/>
    </row>
    <row r="14" spans="2:13" ht="12.75">
      <c r="B14" s="9" t="s">
        <v>578</v>
      </c>
      <c r="G14" s="91">
        <v>0.09</v>
      </c>
      <c r="H14" s="14"/>
      <c r="I14" s="90"/>
      <c r="J14" s="14"/>
      <c r="K14" s="90">
        <f aca="true" t="shared" si="0" ref="K14:K23">SUM(G14:I14)</f>
        <v>0.09</v>
      </c>
      <c r="M14" s="275" t="s">
        <v>581</v>
      </c>
    </row>
    <row r="15" spans="2:13" ht="12.75">
      <c r="B15" s="9" t="s">
        <v>579</v>
      </c>
      <c r="G15" s="91">
        <v>0.081</v>
      </c>
      <c r="H15" s="14"/>
      <c r="I15" s="90">
        <v>0.007</v>
      </c>
      <c r="J15" s="14"/>
      <c r="K15" s="90">
        <f t="shared" si="0"/>
        <v>0.08800000000000001</v>
      </c>
      <c r="M15" s="275" t="s">
        <v>476</v>
      </c>
    </row>
    <row r="16" spans="2:13" ht="12.75">
      <c r="B16" s="9" t="s">
        <v>580</v>
      </c>
      <c r="G16" s="91">
        <v>0.163</v>
      </c>
      <c r="H16" s="14"/>
      <c r="I16" s="90">
        <v>0.233</v>
      </c>
      <c r="J16" s="14"/>
      <c r="K16" s="90">
        <f t="shared" si="0"/>
        <v>0.396</v>
      </c>
      <c r="M16" s="275" t="s">
        <v>476</v>
      </c>
    </row>
    <row r="17" spans="1:13" ht="12.75">
      <c r="A17" s="276"/>
      <c r="B17" s="277" t="s">
        <v>582</v>
      </c>
      <c r="G17" s="91">
        <v>0.087</v>
      </c>
      <c r="H17" s="14"/>
      <c r="I17" s="90">
        <v>0.183</v>
      </c>
      <c r="J17" s="14"/>
      <c r="K17" s="90">
        <f t="shared" si="0"/>
        <v>0.27</v>
      </c>
      <c r="M17" s="275" t="s">
        <v>476</v>
      </c>
    </row>
    <row r="18" spans="1:13" ht="12.75">
      <c r="A18" s="276"/>
      <c r="B18" s="277" t="s">
        <v>584</v>
      </c>
      <c r="G18" s="91">
        <v>0.05</v>
      </c>
      <c r="H18" s="14"/>
      <c r="I18" s="90">
        <v>0.002</v>
      </c>
      <c r="J18" s="14"/>
      <c r="K18" s="90">
        <f t="shared" si="0"/>
        <v>0.052000000000000005</v>
      </c>
      <c r="M18" s="275" t="s">
        <v>476</v>
      </c>
    </row>
    <row r="19" spans="1:13" ht="12.75">
      <c r="A19" s="276"/>
      <c r="B19" s="277" t="s">
        <v>587</v>
      </c>
      <c r="G19" s="91">
        <v>0.02</v>
      </c>
      <c r="H19" s="14"/>
      <c r="I19" s="90">
        <v>0.001</v>
      </c>
      <c r="J19" s="14"/>
      <c r="K19" s="90">
        <f t="shared" si="0"/>
        <v>0.021</v>
      </c>
      <c r="M19" s="275" t="s">
        <v>476</v>
      </c>
    </row>
    <row r="20" spans="1:13" ht="12.75">
      <c r="A20" s="276"/>
      <c r="B20" s="277" t="s">
        <v>588</v>
      </c>
      <c r="G20" s="91">
        <v>0.06</v>
      </c>
      <c r="H20" s="14"/>
      <c r="I20" s="90">
        <v>0</v>
      </c>
      <c r="J20" s="14"/>
      <c r="K20" s="90">
        <f t="shared" si="0"/>
        <v>0.06</v>
      </c>
      <c r="M20" s="275" t="s">
        <v>589</v>
      </c>
    </row>
    <row r="21" spans="1:13" ht="12.75">
      <c r="A21" s="276"/>
      <c r="B21" s="277" t="s">
        <v>590</v>
      </c>
      <c r="G21" s="91">
        <v>0.029</v>
      </c>
      <c r="H21" s="14"/>
      <c r="I21" s="90"/>
      <c r="J21" s="14"/>
      <c r="K21" s="90">
        <f t="shared" si="0"/>
        <v>0.029</v>
      </c>
      <c r="M21" s="275" t="s">
        <v>592</v>
      </c>
    </row>
    <row r="22" spans="1:13" ht="12.75">
      <c r="A22" s="276"/>
      <c r="B22" s="9" t="s">
        <v>593</v>
      </c>
      <c r="G22" s="91">
        <v>0.092</v>
      </c>
      <c r="H22" s="14"/>
      <c r="I22" s="90"/>
      <c r="J22" s="14"/>
      <c r="K22" s="90">
        <f>SUM(G22:I22)</f>
        <v>0.092</v>
      </c>
      <c r="M22" s="275" t="s">
        <v>594</v>
      </c>
    </row>
    <row r="23" spans="1:13" ht="12.75">
      <c r="A23" s="276"/>
      <c r="B23" s="277" t="s">
        <v>595</v>
      </c>
      <c r="G23" s="91">
        <v>0.07</v>
      </c>
      <c r="H23" s="14"/>
      <c r="I23" s="90">
        <v>0.111</v>
      </c>
      <c r="J23" s="14"/>
      <c r="K23" s="90">
        <f t="shared" si="0"/>
        <v>0.181</v>
      </c>
      <c r="M23" s="275" t="s">
        <v>476</v>
      </c>
    </row>
    <row r="24" spans="7:13" ht="12.75">
      <c r="G24" s="91"/>
      <c r="H24" s="14"/>
      <c r="I24" s="90"/>
      <c r="J24" s="14"/>
      <c r="K24" s="90"/>
      <c r="M24" s="275"/>
    </row>
    <row r="25" spans="7:11" ht="13.5" thickBot="1">
      <c r="G25" s="92">
        <f>SUM(G12:G24)</f>
        <v>0.742</v>
      </c>
      <c r="H25" s="82"/>
      <c r="I25" s="92">
        <f>SUM(I12:I24)</f>
        <v>0.537</v>
      </c>
      <c r="J25" s="82"/>
      <c r="K25" s="92">
        <f>SUM(K12:K24)</f>
        <v>1.2790000000000001</v>
      </c>
    </row>
    <row r="26" ht="13.5" thickTop="1"/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5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perspkidd</cp:lastModifiedBy>
  <cp:lastPrinted>2004-02-24T11:41:09Z</cp:lastPrinted>
  <dcterms:created xsi:type="dcterms:W3CDTF">1998-11-26T10:24:39Z</dcterms:created>
  <dcterms:modified xsi:type="dcterms:W3CDTF">2004-02-25T16:13:32Z</dcterms:modified>
  <cp:category/>
  <cp:version/>
  <cp:contentType/>
  <cp:contentStatus/>
</cp:coreProperties>
</file>