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120" activeTab="0"/>
  </bookViews>
  <sheets>
    <sheet name="Final Deleg" sheetId="1" r:id="rId1"/>
    <sheet name="deleg rev" sheetId="2" r:id="rId2"/>
    <sheet name="Sheet1" sheetId="3" r:id="rId3"/>
    <sheet name="Sheet2" sheetId="4" r:id="rId4"/>
  </sheets>
  <definedNames/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A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Includes 0.5 of Sc3 post £7800</t>
        </r>
      </text>
    </comment>
  </commentList>
</comments>
</file>

<file path=xl/sharedStrings.xml><?xml version="1.0" encoding="utf-8"?>
<sst xmlns="http://schemas.openxmlformats.org/spreadsheetml/2006/main" count="217" uniqueCount="88">
  <si>
    <t xml:space="preserve">Teachers </t>
  </si>
  <si>
    <t>Less School action plus</t>
  </si>
  <si>
    <t>Autistic Spectrum post</t>
  </si>
  <si>
    <t>Teachers</t>
  </si>
  <si>
    <t>Nursery Nurses</t>
  </si>
  <si>
    <t>Admin</t>
  </si>
  <si>
    <t>Caretaker</t>
  </si>
  <si>
    <t>Car allowance</t>
  </si>
  <si>
    <t>Supplies and Services</t>
  </si>
  <si>
    <t>Income</t>
  </si>
  <si>
    <t>Running Costs incl repairs</t>
  </si>
  <si>
    <t>Grounds</t>
  </si>
  <si>
    <t>Other charges</t>
  </si>
  <si>
    <t>Current Budget Provision</t>
  </si>
  <si>
    <t>Shortfall</t>
  </si>
  <si>
    <t xml:space="preserve">Breakdown of the above direct staffing support </t>
  </si>
  <si>
    <t>Less Extra District Income</t>
  </si>
  <si>
    <t>SEN</t>
  </si>
  <si>
    <t>Sensory</t>
  </si>
  <si>
    <t>Total</t>
  </si>
  <si>
    <t xml:space="preserve">A decision will need to be taken as to how much of this time will need to be included in the </t>
  </si>
  <si>
    <t>delegation.</t>
  </si>
  <si>
    <t>Extra support for Salford pupils with statements attending mainstream schools in other LEA's</t>
  </si>
  <si>
    <t>is charged to the Recoupment budget.</t>
  </si>
  <si>
    <t xml:space="preserve">Inscape are paid £6,000 as a consultancy fee for Autism advice. This is charged to the </t>
  </si>
  <si>
    <t>Non Maintained budget.</t>
  </si>
  <si>
    <t>The figures above include the full year average provision for 47 extra statemented pupils</t>
  </si>
  <si>
    <t>£</t>
  </si>
  <si>
    <t>Less Early Years</t>
  </si>
  <si>
    <t>Total SEN Staffing Budget</t>
  </si>
  <si>
    <t>Excludes School Action Plus</t>
  </si>
  <si>
    <t>SUMMARY SEN DELEGATION</t>
  </si>
  <si>
    <t xml:space="preserve">Health Auth Partnership </t>
  </si>
  <si>
    <t xml:space="preserve">Nursery </t>
  </si>
  <si>
    <t>Nurses</t>
  </si>
  <si>
    <t>Non Teaching</t>
  </si>
  <si>
    <t>Assistants</t>
  </si>
  <si>
    <t>Non Teaching Assistants</t>
  </si>
  <si>
    <t>Full Year effect of all pay awards are included.</t>
  </si>
  <si>
    <t>Included in teaching figures above is £142,313 relating to the following :-</t>
  </si>
  <si>
    <t>The equivalent of 1.2 teachers undertaking assessments and GCSE concessions</t>
  </si>
  <si>
    <t>SEN Support Service Budget 2002/03  *</t>
  </si>
  <si>
    <r>
      <t xml:space="preserve">* </t>
    </r>
    <r>
      <rPr>
        <sz val="10"/>
        <rFont val="Comic Sans MS"/>
        <family val="4"/>
      </rPr>
      <t>This excludes the budget for the Pupil Referral Units</t>
    </r>
  </si>
  <si>
    <t>Jewish School Provision</t>
  </si>
  <si>
    <t>Less DW/BH/Aut Spec/Assess</t>
  </si>
  <si>
    <t xml:space="preserve">Includes Shortfall of </t>
  </si>
  <si>
    <t>Less Teachers Listed Overleaf</t>
  </si>
  <si>
    <t>Less Early Years Support</t>
  </si>
  <si>
    <t>Less Jewish School Provision</t>
  </si>
  <si>
    <t>Head of Service</t>
  </si>
  <si>
    <t>Support Manager</t>
  </si>
  <si>
    <t>as estimated by Lynn Allington less cost of current provision at school action.</t>
  </si>
  <si>
    <t>Est Inc 3.5%</t>
  </si>
  <si>
    <t>Resources Identified for Delegation</t>
  </si>
  <si>
    <t>Direct statement Provision</t>
  </si>
  <si>
    <t>School Action Plus</t>
  </si>
  <si>
    <t>**</t>
  </si>
  <si>
    <t>Resources Where Decisions are Required</t>
  </si>
  <si>
    <t>Specialist Support Team</t>
  </si>
  <si>
    <t>Sensory Impairment Team</t>
  </si>
  <si>
    <t>Low incidence statements - to be identified</t>
  </si>
  <si>
    <t>Resources to be Retained Centrally</t>
  </si>
  <si>
    <t>Included in the Specialist Support Team figure above are the following :-</t>
  </si>
  <si>
    <t>Early Years Provision</t>
  </si>
  <si>
    <t xml:space="preserve">Provision for Jewish Schools </t>
  </si>
  <si>
    <t>Contingency factor - to be identified</t>
  </si>
  <si>
    <t xml:space="preserve">Health Authority Partnership </t>
  </si>
  <si>
    <t>Running Costs incl repairs, security</t>
  </si>
  <si>
    <r>
      <t>**</t>
    </r>
    <r>
      <rPr>
        <sz val="10"/>
        <rFont val="Comic Sans MS"/>
        <family val="0"/>
      </rPr>
      <t xml:space="preserve"> This includes the cost of low incidence/high need statements and any contingency it is </t>
    </r>
  </si>
  <si>
    <t>agreed the authority needs to retain.</t>
  </si>
  <si>
    <t>2 Specialist Teachers SPLD</t>
  </si>
  <si>
    <t xml:space="preserve">2 Specialist Nursery Nurses </t>
  </si>
  <si>
    <t>Element of car allowance</t>
  </si>
  <si>
    <t>Administration</t>
  </si>
  <si>
    <t>Administration Sensory Impairment</t>
  </si>
  <si>
    <t>Resources Where Decisions are Required - Decision Taken to Retain Centrally</t>
  </si>
  <si>
    <t>Low Incidence</t>
  </si>
  <si>
    <t>Element of car allowance &amp; Admin</t>
  </si>
  <si>
    <t>Less Contingency</t>
  </si>
  <si>
    <t>Low incidence statements</t>
  </si>
  <si>
    <t>Contingency factor - to be confirmed</t>
  </si>
  <si>
    <r>
      <t>**</t>
    </r>
    <r>
      <rPr>
        <sz val="10"/>
        <rFont val="Comic Sans MS"/>
        <family val="0"/>
      </rPr>
      <t xml:space="preserve"> This figure has been reduced to reflect the request of the funding group for a centrally </t>
    </r>
  </si>
  <si>
    <t xml:space="preserve">retained contingency of £50,00 (to be agreed) and the cost of two SPLD teachers and two </t>
  </si>
  <si>
    <t xml:space="preserve">2 Specialist Nursery Nurses - Autism </t>
  </si>
  <si>
    <t>Autism Specialist Nursery Nurses at a cost of approximately £100,000.</t>
  </si>
  <si>
    <t>Inclusion Service (Formerly LSS/BSS) Budget 2002/03  *</t>
  </si>
  <si>
    <t>Technician for Sensory Team</t>
  </si>
  <si>
    <t>Overheads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</si>
</sst>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8">
    <font>
      <sz val="10"/>
      <name val="Comic Sans MS"/>
      <family val="0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mic Sans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F4" sqref="F4"/>
    </sheetView>
  </sheetViews>
  <sheetFormatPr defaultColWidth="9.00390625" defaultRowHeight="15"/>
  <cols>
    <col min="1" max="1" width="27.125" style="0" customWidth="1"/>
    <col min="2" max="3" width="9.00390625" style="1" customWidth="1"/>
    <col min="4" max="4" width="12.75390625" style="1" customWidth="1"/>
    <col min="5" max="5" width="10.375" style="1" customWidth="1"/>
    <col min="6" max="6" width="9.00390625" style="1" customWidth="1"/>
  </cols>
  <sheetData>
    <row r="1" spans="1:7" ht="16.5">
      <c r="A1" s="17" t="s">
        <v>85</v>
      </c>
      <c r="B1" s="17"/>
      <c r="C1" s="17"/>
      <c r="D1" s="17"/>
      <c r="E1" s="17"/>
      <c r="F1" s="17"/>
      <c r="G1" s="6"/>
    </row>
    <row r="2" ht="15"/>
    <row r="3" spans="2:4" ht="16.5">
      <c r="B3" s="11" t="s">
        <v>17</v>
      </c>
      <c r="C3" s="11" t="s">
        <v>18</v>
      </c>
      <c r="D3" s="11" t="s">
        <v>19</v>
      </c>
    </row>
    <row r="4" spans="1:4" ht="15">
      <c r="A4" t="s">
        <v>3</v>
      </c>
      <c r="B4" s="1">
        <v>462299</v>
      </c>
      <c r="C4" s="1">
        <v>339561</v>
      </c>
      <c r="D4" s="1">
        <f aca="true" t="shared" si="0" ref="D4:D15">B4+C4</f>
        <v>801860</v>
      </c>
    </row>
    <row r="5" spans="1:4" ht="15">
      <c r="A5" t="s">
        <v>4</v>
      </c>
      <c r="B5" s="1">
        <v>591353</v>
      </c>
      <c r="C5" s="1">
        <v>156270</v>
      </c>
      <c r="D5" s="1">
        <f t="shared" si="0"/>
        <v>747623</v>
      </c>
    </row>
    <row r="6" spans="1:4" ht="15">
      <c r="A6" t="s">
        <v>37</v>
      </c>
      <c r="B6" s="1">
        <f>1009861-(7465*7)</f>
        <v>957606</v>
      </c>
      <c r="C6" s="1">
        <v>0</v>
      </c>
      <c r="D6" s="1">
        <f t="shared" si="0"/>
        <v>957606</v>
      </c>
    </row>
    <row r="7" spans="1:4" ht="15">
      <c r="A7" t="s">
        <v>5</v>
      </c>
      <c r="B7" s="1">
        <f>38334-5119</f>
        <v>33215</v>
      </c>
      <c r="C7" s="1">
        <v>5119</v>
      </c>
      <c r="D7" s="1">
        <f t="shared" si="0"/>
        <v>38334</v>
      </c>
    </row>
    <row r="8" spans="1:4" ht="15">
      <c r="A8" t="s">
        <v>6</v>
      </c>
      <c r="B8" s="1">
        <v>11650</v>
      </c>
      <c r="C8" s="1">
        <v>0</v>
      </c>
      <c r="D8" s="1">
        <f t="shared" si="0"/>
        <v>11650</v>
      </c>
    </row>
    <row r="9" spans="1:4" ht="15">
      <c r="A9" t="s">
        <v>67</v>
      </c>
      <c r="B9" s="1">
        <f>5000+1500+10000</f>
        <v>16500</v>
      </c>
      <c r="C9" s="1">
        <v>0</v>
      </c>
      <c r="D9" s="1">
        <f t="shared" si="0"/>
        <v>16500</v>
      </c>
    </row>
    <row r="10" spans="1:4" ht="15">
      <c r="A10" t="s">
        <v>11</v>
      </c>
      <c r="B10" s="1">
        <v>13110</v>
      </c>
      <c r="C10" s="1">
        <v>0</v>
      </c>
      <c r="D10" s="1">
        <f t="shared" si="0"/>
        <v>13110</v>
      </c>
    </row>
    <row r="11" spans="1:4" ht="15">
      <c r="A11" t="s">
        <v>7</v>
      </c>
      <c r="B11" s="1">
        <v>32440</v>
      </c>
      <c r="C11" s="1">
        <v>0</v>
      </c>
      <c r="D11" s="1">
        <f t="shared" si="0"/>
        <v>32440</v>
      </c>
    </row>
    <row r="12" spans="1:4" ht="15">
      <c r="A12" t="s">
        <v>8</v>
      </c>
      <c r="B12" s="1">
        <v>21820</v>
      </c>
      <c r="C12" s="1">
        <v>0</v>
      </c>
      <c r="D12" s="1">
        <f t="shared" si="0"/>
        <v>21820</v>
      </c>
    </row>
    <row r="13" spans="1:5" ht="15">
      <c r="A13" t="s">
        <v>32</v>
      </c>
      <c r="B13" s="1">
        <f>14220*1.035</f>
        <v>14717.699999999999</v>
      </c>
      <c r="C13" s="1">
        <v>0</v>
      </c>
      <c r="D13" s="1">
        <f t="shared" si="0"/>
        <v>14717.699999999999</v>
      </c>
      <c r="E13" s="1" t="s">
        <v>52</v>
      </c>
    </row>
    <row r="14" spans="1:4" ht="15">
      <c r="A14" t="s">
        <v>12</v>
      </c>
      <c r="B14" s="1">
        <v>6260</v>
      </c>
      <c r="C14" s="1">
        <v>0</v>
      </c>
      <c r="D14" s="1">
        <f t="shared" si="0"/>
        <v>6260</v>
      </c>
    </row>
    <row r="15" spans="1:4" ht="15">
      <c r="A15" t="s">
        <v>9</v>
      </c>
      <c r="B15" s="1">
        <v>-73252</v>
      </c>
      <c r="C15" s="1">
        <v>0</v>
      </c>
      <c r="D15" s="1">
        <f t="shared" si="0"/>
        <v>-73252</v>
      </c>
    </row>
    <row r="16" spans="2:4" ht="15">
      <c r="B16" s="2">
        <f>SUM(B4:B15)</f>
        <v>2087718.7000000002</v>
      </c>
      <c r="C16" s="2">
        <f>SUM(C4:C15)</f>
        <v>500950</v>
      </c>
      <c r="D16" s="2">
        <f>SUM(D4:D15)</f>
        <v>2588668.7</v>
      </c>
    </row>
    <row r="17" ht="15">
      <c r="B17" s="4"/>
    </row>
    <row r="18" spans="1:4" ht="15">
      <c r="A18" t="s">
        <v>13</v>
      </c>
      <c r="B18" s="4">
        <f>D18-C18</f>
        <v>1554973</v>
      </c>
      <c r="C18" s="1">
        <f>C16</f>
        <v>500950</v>
      </c>
      <c r="D18" s="1">
        <f>2055923</f>
        <v>2055923</v>
      </c>
    </row>
    <row r="19" ht="15"/>
    <row r="20" spans="1:4" ht="17.25" thickBot="1">
      <c r="A20" t="s">
        <v>14</v>
      </c>
      <c r="B20" s="5">
        <f>B16-B18</f>
        <v>532745.7000000002</v>
      </c>
      <c r="C20" s="5">
        <f>C16-C18</f>
        <v>0</v>
      </c>
      <c r="D20" s="5">
        <f>D16-D18</f>
        <v>532745.7000000002</v>
      </c>
    </row>
    <row r="21" ht="15.75" thickTop="1"/>
    <row r="22" ht="16.5">
      <c r="A22" s="9" t="s">
        <v>42</v>
      </c>
    </row>
    <row r="23" ht="15"/>
    <row r="24" ht="15">
      <c r="A24" t="s">
        <v>26</v>
      </c>
    </row>
    <row r="25" ht="15">
      <c r="A25" t="s">
        <v>51</v>
      </c>
    </row>
    <row r="26" ht="15"/>
    <row r="27" ht="15"/>
    <row r="28" ht="15"/>
    <row r="29" ht="16.5">
      <c r="A29" s="8" t="s">
        <v>53</v>
      </c>
    </row>
    <row r="30" ht="15"/>
    <row r="31" spans="2:5" ht="16.5">
      <c r="B31" s="3" t="s">
        <v>0</v>
      </c>
      <c r="C31" s="3" t="s">
        <v>33</v>
      </c>
      <c r="D31" s="3" t="s">
        <v>35</v>
      </c>
      <c r="E31" s="3" t="s">
        <v>19</v>
      </c>
    </row>
    <row r="32" spans="2:5" ht="16.5">
      <c r="B32" s="3"/>
      <c r="C32" s="3" t="s">
        <v>34</v>
      </c>
      <c r="D32" s="3" t="s">
        <v>36</v>
      </c>
      <c r="E32" s="3"/>
    </row>
    <row r="33" spans="2:5" ht="16.5">
      <c r="B33" s="3"/>
      <c r="C33" s="3"/>
      <c r="D33" s="3"/>
      <c r="E33" s="3"/>
    </row>
    <row r="34" ht="15"/>
    <row r="35" spans="2:5" ht="15" hidden="1">
      <c r="B35" s="1">
        <f>B4</f>
        <v>462299</v>
      </c>
      <c r="C35" s="1">
        <f>B5</f>
        <v>591353</v>
      </c>
      <c r="D35" s="1">
        <f>B6</f>
        <v>957606</v>
      </c>
      <c r="E35" s="1">
        <f>SUM(B35:D35)</f>
        <v>2011258</v>
      </c>
    </row>
    <row r="36" ht="15" hidden="1"/>
    <row r="37" spans="1:5" ht="15" hidden="1">
      <c r="A37" t="s">
        <v>46</v>
      </c>
      <c r="B37" s="1">
        <f>-68908-33366-40039-33366-33366</f>
        <v>-209045</v>
      </c>
      <c r="C37" s="1">
        <f>-16400-16400</f>
        <v>-32800</v>
      </c>
      <c r="D37" s="1">
        <v>0</v>
      </c>
      <c r="E37" s="1">
        <f>SUM(B37:D37)</f>
        <v>-241845</v>
      </c>
    </row>
    <row r="38" ht="15" hidden="1"/>
    <row r="39" spans="1:5" ht="15" hidden="1">
      <c r="A39" t="s">
        <v>1</v>
      </c>
      <c r="B39" s="1">
        <f>-50153-2054</f>
        <v>-52207</v>
      </c>
      <c r="C39" s="1">
        <v>0</v>
      </c>
      <c r="D39" s="1">
        <f>-282922-62628+1771-6057.6</f>
        <v>-349836.6</v>
      </c>
      <c r="E39" s="1">
        <f>SUM(B39:D39)</f>
        <v>-402043.6</v>
      </c>
    </row>
    <row r="40" ht="15" hidden="1"/>
    <row r="41" spans="1:5" ht="15" hidden="1">
      <c r="A41" t="s">
        <v>16</v>
      </c>
      <c r="B41" s="1">
        <f>(-734.85-49.53-32.66)/30.506*100</f>
        <v>-2678.2927948600272</v>
      </c>
      <c r="C41" s="1">
        <f>(-186-1066.65-5333.25-5333.25-1641-328.2)/30.506*100</f>
        <v>-45526.61771454796</v>
      </c>
      <c r="D41" s="1">
        <f>(-341.7-341.77-1953-1318.27-2441.25-1245)/30.506*100</f>
        <v>-25047.498852684716</v>
      </c>
      <c r="E41" s="1">
        <f>SUM(B41:D41)</f>
        <v>-73252.4093620927</v>
      </c>
    </row>
    <row r="42" ht="15" hidden="1"/>
    <row r="43" spans="1:5" ht="15" hidden="1">
      <c r="A43" t="s">
        <v>47</v>
      </c>
      <c r="D43" s="1">
        <v>-40000</v>
      </c>
      <c r="E43" s="1">
        <v>-40000</v>
      </c>
    </row>
    <row r="44" ht="15" hidden="1"/>
    <row r="45" spans="1:5" ht="15" hidden="1">
      <c r="A45" t="s">
        <v>43</v>
      </c>
      <c r="B45" s="1">
        <f>-4200-7290</f>
        <v>-11490</v>
      </c>
      <c r="C45" s="1">
        <v>0</v>
      </c>
      <c r="D45" s="1">
        <v>-9090</v>
      </c>
      <c r="E45" s="1">
        <f>SUM(B45:D45)</f>
        <v>-20580</v>
      </c>
    </row>
    <row r="46" ht="15" hidden="1"/>
    <row r="47" spans="1:5" ht="15" hidden="1">
      <c r="A47" t="s">
        <v>76</v>
      </c>
      <c r="B47" s="1">
        <f>-47835.26</f>
        <v>-47835.26</v>
      </c>
      <c r="C47" s="1">
        <v>-60314.03</v>
      </c>
      <c r="D47" s="1">
        <f>-(11*2335)-99830.11</f>
        <v>-125515.11</v>
      </c>
      <c r="E47" s="1">
        <f>SUM(B47:D47)</f>
        <v>-233664.40000000002</v>
      </c>
    </row>
    <row r="48" ht="15" hidden="1"/>
    <row r="49" spans="1:5" ht="15" hidden="1">
      <c r="A49" t="s">
        <v>78</v>
      </c>
      <c r="C49" s="1">
        <v>-50000</v>
      </c>
      <c r="E49" s="1">
        <f>SUM(B49:D49)</f>
        <v>-50000</v>
      </c>
    </row>
    <row r="50" ht="15" hidden="1"/>
    <row r="51" spans="1:8" ht="16.5">
      <c r="A51" t="s">
        <v>54</v>
      </c>
      <c r="B51" s="4">
        <f>SUM(B35:B50)</f>
        <v>139043.44720513996</v>
      </c>
      <c r="C51" s="4">
        <f>SUM(C35:C50)</f>
        <v>402712.35228545207</v>
      </c>
      <c r="D51" s="4">
        <f>SUM(D35:D50)</f>
        <v>408116.7911473153</v>
      </c>
      <c r="E51" s="4">
        <f>SUM(E35:E50)</f>
        <v>949872.5906379073</v>
      </c>
      <c r="F51" s="3" t="s">
        <v>56</v>
      </c>
      <c r="G51" s="1"/>
      <c r="H51" s="1"/>
    </row>
    <row r="52" spans="1:5" ht="15">
      <c r="A52" t="s">
        <v>55</v>
      </c>
      <c r="B52" s="4">
        <f>50153+2054</f>
        <v>52207</v>
      </c>
      <c r="C52" s="4">
        <v>0</v>
      </c>
      <c r="D52" s="4">
        <f>343779+6057.6</f>
        <v>349836.6</v>
      </c>
      <c r="E52" s="4">
        <f>SUM(B52:D52)</f>
        <v>402043.6</v>
      </c>
    </row>
    <row r="53" spans="1:5" ht="15">
      <c r="A53" t="s">
        <v>77</v>
      </c>
      <c r="B53" s="4">
        <f>SUM(B51:B52)/(SUM($D$4:$D$6)-73252-50000-233664)*$B$11+7800-6000</f>
        <v>4685.42573427103</v>
      </c>
      <c r="C53" s="4">
        <f>SUM(C51:C52)/(SUM($D$4:$D$6)-73252-50000-233664)*$B$11</f>
        <v>6075.784928998767</v>
      </c>
      <c r="D53" s="4">
        <f>SUM(D51:D52)/(SUM($D$4:$D$6)-73252-50000-233664)*$B$11</f>
        <v>11435.362647014406</v>
      </c>
      <c r="E53" s="4">
        <f>SUM(B53:D53)</f>
        <v>22196.573310284206</v>
      </c>
    </row>
    <row r="54" spans="2:5" ht="15">
      <c r="B54" s="4"/>
      <c r="C54" s="4"/>
      <c r="D54" s="4"/>
      <c r="E54" s="4"/>
    </row>
    <row r="55" spans="2:5" ht="16.5">
      <c r="B55" s="13">
        <f>SUM(B51:B53)</f>
        <v>195935.872939411</v>
      </c>
      <c r="C55" s="13">
        <f>SUM(C51:C53)</f>
        <v>408788.13721445086</v>
      </c>
      <c r="D55" s="13">
        <f>SUM(D51:D53)</f>
        <v>769388.7537943297</v>
      </c>
      <c r="E55" s="13">
        <f>SUM(E51:E53)</f>
        <v>1374112.7639481914</v>
      </c>
    </row>
    <row r="56" ht="15"/>
    <row r="57" spans="1:8" ht="16.5">
      <c r="A57" s="9" t="s">
        <v>81</v>
      </c>
      <c r="D57" s="14"/>
      <c r="E57" s="14"/>
      <c r="F57" s="14"/>
      <c r="G57" s="15"/>
      <c r="H57" s="15"/>
    </row>
    <row r="58" spans="1:9" ht="15">
      <c r="A58" s="16" t="s">
        <v>82</v>
      </c>
      <c r="D58" s="14"/>
      <c r="E58" s="14"/>
      <c r="F58" s="14"/>
      <c r="G58" s="15"/>
      <c r="H58" s="15"/>
      <c r="I58" s="15"/>
    </row>
    <row r="59" ht="15">
      <c r="A59" t="s">
        <v>84</v>
      </c>
    </row>
    <row r="60" ht="15">
      <c r="A60" t="s">
        <v>38</v>
      </c>
    </row>
    <row r="61" ht="15"/>
    <row r="62" ht="15"/>
    <row r="63" ht="15"/>
    <row r="64" ht="16.5">
      <c r="A64" s="8" t="s">
        <v>75</v>
      </c>
    </row>
    <row r="65" ht="15"/>
    <row r="66" spans="2:5" ht="16.5">
      <c r="B66" s="3" t="s">
        <v>0</v>
      </c>
      <c r="C66" s="3" t="s">
        <v>33</v>
      </c>
      <c r="D66" s="3" t="s">
        <v>35</v>
      </c>
      <c r="E66" s="3" t="s">
        <v>19</v>
      </c>
    </row>
    <row r="67" spans="2:5" ht="16.5">
      <c r="B67" s="3"/>
      <c r="C67" s="3" t="s">
        <v>34</v>
      </c>
      <c r="D67" s="3" t="s">
        <v>36</v>
      </c>
      <c r="E67" s="3"/>
    </row>
    <row r="68" spans="1:5" ht="15">
      <c r="A68" t="s">
        <v>58</v>
      </c>
      <c r="B68" s="12">
        <f>142313+33366+33366</f>
        <v>209045</v>
      </c>
      <c r="C68" s="12">
        <f>16400+16400</f>
        <v>32800</v>
      </c>
      <c r="D68" s="12">
        <v>0</v>
      </c>
      <c r="E68" s="12">
        <f>SUM(B68:D68)</f>
        <v>241845</v>
      </c>
    </row>
    <row r="69" spans="1:5" ht="15">
      <c r="A69" t="s">
        <v>59</v>
      </c>
      <c r="B69" s="12">
        <v>339561</v>
      </c>
      <c r="C69" s="12">
        <v>156270</v>
      </c>
      <c r="D69" s="12">
        <v>0</v>
      </c>
      <c r="E69" s="12">
        <f>SUM(B69:D69)</f>
        <v>495831</v>
      </c>
    </row>
    <row r="70" spans="1:5" ht="15">
      <c r="A70" t="s">
        <v>72</v>
      </c>
      <c r="B70" s="4">
        <f>SUM(B68:B69)/(SUM($D$4:$D$6)-73252-50000-233664)*$B$11+6000</f>
        <v>14276.905458304982</v>
      </c>
      <c r="C70" s="4">
        <f>SUM(C68:C69)/(SUM($D$4:$D$6)-73252-50000-233664)*$B$11</f>
        <v>2852.5289825516365</v>
      </c>
      <c r="D70" s="4">
        <f>SUM(D68:D69)/(SUM($D$4:$D$6)-73252-50000-233664)*$B$11</f>
        <v>0</v>
      </c>
      <c r="E70" s="12">
        <f>SUM(B70:D70)</f>
        <v>17129.434440856618</v>
      </c>
    </row>
    <row r="71" spans="1:5" ht="15">
      <c r="A71" t="s">
        <v>86</v>
      </c>
      <c r="B71" s="4">
        <v>0</v>
      </c>
      <c r="C71" s="4">
        <v>0</v>
      </c>
      <c r="D71" s="4">
        <f>C7</f>
        <v>5119</v>
      </c>
      <c r="E71" s="12">
        <f>SUM(B71:D71)</f>
        <v>5119</v>
      </c>
    </row>
    <row r="72" spans="1:5" ht="15">
      <c r="A72" t="s">
        <v>79</v>
      </c>
      <c r="B72" s="12">
        <f>-B47</f>
        <v>47835.26</v>
      </c>
      <c r="C72" s="12">
        <f>-C47</f>
        <v>60314.03</v>
      </c>
      <c r="D72" s="12">
        <f>-D47</f>
        <v>125515.11</v>
      </c>
      <c r="E72" s="12">
        <f>SUM(B72:D72)</f>
        <v>233664.40000000002</v>
      </c>
    </row>
    <row r="73" spans="2:5" ht="16.5">
      <c r="B73" s="13">
        <f>SUM(B68:B72)</f>
        <v>610718.165458305</v>
      </c>
      <c r="C73" s="13">
        <f>SUM(C68:C72)</f>
        <v>252236.55898255162</v>
      </c>
      <c r="D73" s="13">
        <f>SUM(D68:D72)</f>
        <v>130634.11</v>
      </c>
      <c r="E73" s="13">
        <f>SUM(E68:E72)</f>
        <v>993588.8344408566</v>
      </c>
    </row>
    <row r="74" spans="2:5" ht="16.5">
      <c r="B74" s="3"/>
      <c r="C74" s="3"/>
      <c r="D74" s="3"/>
      <c r="E74" s="3"/>
    </row>
    <row r="75" spans="2:5" ht="16.5">
      <c r="B75" s="3"/>
      <c r="C75" s="3"/>
      <c r="D75" s="3"/>
      <c r="E75" s="3"/>
    </row>
    <row r="76" spans="2:5" ht="16.5">
      <c r="B76" s="3"/>
      <c r="C76" s="3"/>
      <c r="D76" s="3"/>
      <c r="E76" s="3"/>
    </row>
    <row r="77" ht="15">
      <c r="A77" t="s">
        <v>62</v>
      </c>
    </row>
    <row r="79" ht="15">
      <c r="A79" t="s">
        <v>49</v>
      </c>
    </row>
    <row r="80" ht="15">
      <c r="A80" t="s">
        <v>50</v>
      </c>
    </row>
    <row r="81" ht="15">
      <c r="A81" t="s">
        <v>2</v>
      </c>
    </row>
    <row r="82" ht="15">
      <c r="A82" t="s">
        <v>40</v>
      </c>
    </row>
    <row r="83" ht="15">
      <c r="A83" t="s">
        <v>70</v>
      </c>
    </row>
    <row r="84" ht="15">
      <c r="A84" t="s">
        <v>83</v>
      </c>
    </row>
    <row r="86" ht="16.5">
      <c r="A86" s="8" t="s">
        <v>61</v>
      </c>
    </row>
    <row r="88" spans="2:7" ht="16.5">
      <c r="B88" s="3" t="s">
        <v>0</v>
      </c>
      <c r="C88" s="3" t="s">
        <v>33</v>
      </c>
      <c r="D88" s="3" t="s">
        <v>35</v>
      </c>
      <c r="E88" s="3" t="s">
        <v>87</v>
      </c>
      <c r="F88" s="3" t="s">
        <v>19</v>
      </c>
      <c r="G88" s="1"/>
    </row>
    <row r="89" spans="2:7" ht="16.5">
      <c r="B89" s="3"/>
      <c r="C89" s="3" t="s">
        <v>34</v>
      </c>
      <c r="D89" s="3" t="s">
        <v>36</v>
      </c>
      <c r="E89" s="3"/>
      <c r="F89" s="3"/>
      <c r="G89" s="1"/>
    </row>
    <row r="90" spans="1:7" ht="15">
      <c r="A90" t="s">
        <v>63</v>
      </c>
      <c r="B90" s="12">
        <v>0</v>
      </c>
      <c r="C90" s="12">
        <v>0</v>
      </c>
      <c r="D90" s="12">
        <v>40000</v>
      </c>
      <c r="E90" s="12"/>
      <c r="F90" s="12">
        <f aca="true" t="shared" si="1" ref="F90:F95">SUM(B90:E90)</f>
        <v>40000</v>
      </c>
      <c r="G90" s="1"/>
    </row>
    <row r="91" spans="1:7" ht="15">
      <c r="A91" t="s">
        <v>64</v>
      </c>
      <c r="B91" s="12">
        <f>4200+7290</f>
        <v>11490</v>
      </c>
      <c r="C91" s="12">
        <v>0</v>
      </c>
      <c r="D91" s="12">
        <v>9090</v>
      </c>
      <c r="E91" s="12"/>
      <c r="F91" s="12">
        <f t="shared" si="1"/>
        <v>20580</v>
      </c>
      <c r="G91" s="1"/>
    </row>
    <row r="92" spans="1:7" ht="15">
      <c r="A92" t="s">
        <v>66</v>
      </c>
      <c r="B92" s="12">
        <v>0</v>
      </c>
      <c r="C92" s="12">
        <v>0</v>
      </c>
      <c r="D92" s="12">
        <v>0</v>
      </c>
      <c r="E92" s="12">
        <f>D13</f>
        <v>14717.699999999999</v>
      </c>
      <c r="F92" s="12">
        <f t="shared" si="1"/>
        <v>14717.699999999999</v>
      </c>
      <c r="G92" s="1"/>
    </row>
    <row r="93" spans="1:7" ht="15">
      <c r="A93" t="s">
        <v>72</v>
      </c>
      <c r="B93" s="4">
        <f>SUM(B90:B92)/(SUM($D$4:$D$6)-73252-50000-233664)*$B$11</f>
        <v>173.35144660452903</v>
      </c>
      <c r="C93" s="4">
        <f>SUM(C90:C92)/(SUM($D$4:$D$6)-73252-50000-233664)*$B$11</f>
        <v>0</v>
      </c>
      <c r="D93" s="4">
        <f>SUM(D90:D92)/(SUM($D$4:$D$6)-73252-50000-233664)*$B$11</f>
        <v>740.6285912807946</v>
      </c>
      <c r="E93" s="4"/>
      <c r="F93" s="12">
        <f t="shared" si="1"/>
        <v>913.9800378853236</v>
      </c>
      <c r="G93" s="1"/>
    </row>
    <row r="94" spans="1:7" ht="15">
      <c r="A94" t="s">
        <v>87</v>
      </c>
      <c r="B94" s="4">
        <v>0</v>
      </c>
      <c r="C94" s="4">
        <v>0</v>
      </c>
      <c r="D94" s="4">
        <v>0</v>
      </c>
      <c r="E94" s="4">
        <f>B7-7800+D8+D9+D10+D12+D14</f>
        <v>94755</v>
      </c>
      <c r="F94" s="12">
        <f t="shared" si="1"/>
        <v>94755</v>
      </c>
      <c r="G94" s="1"/>
    </row>
    <row r="95" spans="1:7" ht="15">
      <c r="A95" t="s">
        <v>80</v>
      </c>
      <c r="B95" s="12"/>
      <c r="C95" s="12">
        <v>50000</v>
      </c>
      <c r="D95" s="12">
        <v>0</v>
      </c>
      <c r="E95" s="12">
        <v>0</v>
      </c>
      <c r="F95" s="12">
        <f t="shared" si="1"/>
        <v>50000</v>
      </c>
      <c r="G95" s="1"/>
    </row>
    <row r="96" spans="2:7" ht="16.5">
      <c r="B96" s="13">
        <f>SUM(B90:B95)</f>
        <v>11663.351446604529</v>
      </c>
      <c r="C96" s="13">
        <f>SUM(C90:C95)</f>
        <v>50000</v>
      </c>
      <c r="D96" s="13">
        <f>SUM(D90:D95)</f>
        <v>49830.628591280794</v>
      </c>
      <c r="E96" s="13">
        <f>SUM(E90:E95)</f>
        <v>109472.7</v>
      </c>
      <c r="F96" s="13">
        <f>SUM(F90:F95)</f>
        <v>220966.68003788532</v>
      </c>
      <c r="G96" s="1"/>
    </row>
    <row r="100" ht="15">
      <c r="A100" t="s">
        <v>22</v>
      </c>
    </row>
    <row r="101" ht="15">
      <c r="A101" t="s">
        <v>23</v>
      </c>
    </row>
    <row r="103" ht="15">
      <c r="A103" t="s">
        <v>24</v>
      </c>
    </row>
    <row r="104" ht="15">
      <c r="A104" t="s">
        <v>25</v>
      </c>
    </row>
    <row r="105" ht="15">
      <c r="G105" s="1">
        <f>F96+E73+E55</f>
        <v>2588668.278426933</v>
      </c>
    </row>
    <row r="106" ht="15">
      <c r="G106" s="1">
        <f>D16</f>
        <v>2588668.7</v>
      </c>
    </row>
    <row r="107" ht="15">
      <c r="G107" s="1">
        <f>G105-G106</f>
        <v>-0.4215730670839548</v>
      </c>
    </row>
  </sheetData>
  <mergeCells count="1">
    <mergeCell ref="A1:F1"/>
  </mergeCells>
  <printOptions/>
  <pageMargins left="0.984251968503937" right="0.3937007874015748" top="0.5905511811023623" bottom="0.5905511811023623" header="0.1968503937007874" footer="0.3937007874015748"/>
  <pageSetup horizontalDpi="300" verticalDpi="300" orientation="portrait" paperSize="9" r:id="rId3"/>
  <headerFooter alignWithMargins="0">
    <oddHeader>&amp;R&amp;"Times New Roman,Bold"&amp;12Appendix 1</oddHeader>
    <oddFooter>&amp;LPrepared By Paula Summersfield&amp;R&amp;D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60">
      <selection activeCell="G89" sqref="G89"/>
    </sheetView>
  </sheetViews>
  <sheetFormatPr defaultColWidth="9.00390625" defaultRowHeight="15"/>
  <cols>
    <col min="1" max="1" width="27.125" style="0" customWidth="1"/>
    <col min="2" max="3" width="9.00390625" style="1" customWidth="1"/>
    <col min="4" max="4" width="12.75390625" style="1" customWidth="1"/>
    <col min="5" max="6" width="9.00390625" style="1" customWidth="1"/>
  </cols>
  <sheetData>
    <row r="1" spans="1:7" ht="16.5">
      <c r="A1" s="17" t="s">
        <v>41</v>
      </c>
      <c r="B1" s="17"/>
      <c r="C1" s="17"/>
      <c r="D1" s="17"/>
      <c r="E1" s="17"/>
      <c r="F1" s="17"/>
      <c r="G1" s="6"/>
    </row>
    <row r="3" spans="2:4" ht="16.5">
      <c r="B3" s="11" t="s">
        <v>17</v>
      </c>
      <c r="C3" s="11" t="s">
        <v>18</v>
      </c>
      <c r="D3" s="11" t="s">
        <v>19</v>
      </c>
    </row>
    <row r="4" spans="1:4" ht="15">
      <c r="A4" t="s">
        <v>3</v>
      </c>
      <c r="B4" s="1">
        <v>462299</v>
      </c>
      <c r="C4" s="1">
        <v>339561</v>
      </c>
      <c r="D4" s="1">
        <f aca="true" t="shared" si="0" ref="D4:D15">B4+C4</f>
        <v>801860</v>
      </c>
    </row>
    <row r="5" spans="1:4" ht="15">
      <c r="A5" t="s">
        <v>4</v>
      </c>
      <c r="B5" s="1">
        <v>591353</v>
      </c>
      <c r="C5" s="1">
        <v>156270</v>
      </c>
      <c r="D5" s="1">
        <f t="shared" si="0"/>
        <v>747623</v>
      </c>
    </row>
    <row r="6" spans="1:4" ht="15">
      <c r="A6" t="s">
        <v>37</v>
      </c>
      <c r="B6" s="1">
        <f>1009861-(7465*7)</f>
        <v>957606</v>
      </c>
      <c r="C6" s="1">
        <v>0</v>
      </c>
      <c r="D6" s="1">
        <f t="shared" si="0"/>
        <v>957606</v>
      </c>
    </row>
    <row r="7" spans="1:4" ht="15">
      <c r="A7" t="s">
        <v>5</v>
      </c>
      <c r="B7" s="1">
        <f>38334-5119</f>
        <v>33215</v>
      </c>
      <c r="C7" s="1">
        <v>5119</v>
      </c>
      <c r="D7" s="1">
        <f t="shared" si="0"/>
        <v>38334</v>
      </c>
    </row>
    <row r="8" spans="1:4" ht="15">
      <c r="A8" t="s">
        <v>6</v>
      </c>
      <c r="B8" s="1">
        <v>11650</v>
      </c>
      <c r="C8" s="1">
        <v>0</v>
      </c>
      <c r="D8" s="1">
        <f t="shared" si="0"/>
        <v>11650</v>
      </c>
    </row>
    <row r="9" spans="1:4" ht="15">
      <c r="A9" t="s">
        <v>67</v>
      </c>
      <c r="B9" s="1">
        <f>5000+1500+10000</f>
        <v>16500</v>
      </c>
      <c r="C9" s="1">
        <v>0</v>
      </c>
      <c r="D9" s="1">
        <f t="shared" si="0"/>
        <v>16500</v>
      </c>
    </row>
    <row r="10" spans="1:4" ht="15">
      <c r="A10" t="s">
        <v>11</v>
      </c>
      <c r="B10" s="1">
        <v>13110</v>
      </c>
      <c r="C10" s="1">
        <v>0</v>
      </c>
      <c r="D10" s="1">
        <f t="shared" si="0"/>
        <v>13110</v>
      </c>
    </row>
    <row r="11" spans="1:4" ht="15">
      <c r="A11" t="s">
        <v>7</v>
      </c>
      <c r="B11" s="1">
        <v>32440</v>
      </c>
      <c r="C11" s="1">
        <v>0</v>
      </c>
      <c r="D11" s="1">
        <f t="shared" si="0"/>
        <v>32440</v>
      </c>
    </row>
    <row r="12" spans="1:4" ht="15">
      <c r="A12" t="s">
        <v>8</v>
      </c>
      <c r="B12" s="1">
        <v>21820</v>
      </c>
      <c r="C12" s="1">
        <v>0</v>
      </c>
      <c r="D12" s="1">
        <f t="shared" si="0"/>
        <v>21820</v>
      </c>
    </row>
    <row r="13" spans="1:5" ht="15">
      <c r="A13" t="s">
        <v>32</v>
      </c>
      <c r="B13" s="1">
        <f>14220*1.035</f>
        <v>14717.699999999999</v>
      </c>
      <c r="C13" s="1">
        <v>0</v>
      </c>
      <c r="D13" s="1">
        <f t="shared" si="0"/>
        <v>14717.699999999999</v>
      </c>
      <c r="E13" s="1" t="s">
        <v>52</v>
      </c>
    </row>
    <row r="14" spans="1:4" ht="15">
      <c r="A14" t="s">
        <v>12</v>
      </c>
      <c r="B14" s="1">
        <v>6260</v>
      </c>
      <c r="C14" s="1">
        <v>0</v>
      </c>
      <c r="D14" s="1">
        <f t="shared" si="0"/>
        <v>6260</v>
      </c>
    </row>
    <row r="15" spans="1:4" ht="15">
      <c r="A15" t="s">
        <v>9</v>
      </c>
      <c r="B15" s="1">
        <v>-73252</v>
      </c>
      <c r="C15" s="1">
        <v>0</v>
      </c>
      <c r="D15" s="1">
        <f t="shared" si="0"/>
        <v>-73252</v>
      </c>
    </row>
    <row r="16" spans="2:4" ht="15">
      <c r="B16" s="2">
        <f>SUM(B4:B15)</f>
        <v>2087718.7000000002</v>
      </c>
      <c r="C16" s="2">
        <f>SUM(C4:C15)</f>
        <v>500950</v>
      </c>
      <c r="D16" s="2">
        <f>SUM(D4:D15)</f>
        <v>2588668.7</v>
      </c>
    </row>
    <row r="17" ht="15">
      <c r="B17" s="4"/>
    </row>
    <row r="18" spans="1:4" ht="15">
      <c r="A18" t="s">
        <v>13</v>
      </c>
      <c r="B18" s="4">
        <f>D18-C18</f>
        <v>1554973</v>
      </c>
      <c r="C18" s="1">
        <f>C16</f>
        <v>500950</v>
      </c>
      <c r="D18" s="1">
        <f>2055923</f>
        <v>2055923</v>
      </c>
    </row>
    <row r="20" spans="1:4" ht="17.25" thickBot="1">
      <c r="A20" t="s">
        <v>14</v>
      </c>
      <c r="B20" s="5">
        <f>B16-B18</f>
        <v>532745.7000000002</v>
      </c>
      <c r="C20" s="5">
        <f>C16-C18</f>
        <v>0</v>
      </c>
      <c r="D20" s="5">
        <f>D16-D18</f>
        <v>532745.7000000002</v>
      </c>
    </row>
    <row r="21" ht="15.75" thickTop="1"/>
    <row r="22" ht="16.5">
      <c r="A22" s="9" t="s">
        <v>42</v>
      </c>
    </row>
    <row r="24" ht="15">
      <c r="A24" t="s">
        <v>26</v>
      </c>
    </row>
    <row r="25" ht="15">
      <c r="A25" t="s">
        <v>51</v>
      </c>
    </row>
    <row r="29" ht="16.5">
      <c r="A29" s="8" t="s">
        <v>53</v>
      </c>
    </row>
    <row r="31" spans="2:5" ht="16.5">
      <c r="B31" s="3" t="s">
        <v>0</v>
      </c>
      <c r="C31" s="3" t="s">
        <v>33</v>
      </c>
      <c r="D31" s="3" t="s">
        <v>35</v>
      </c>
      <c r="E31" s="3" t="s">
        <v>19</v>
      </c>
    </row>
    <row r="32" spans="2:5" ht="16.5">
      <c r="B32" s="3"/>
      <c r="C32" s="3" t="s">
        <v>34</v>
      </c>
      <c r="D32" s="3" t="s">
        <v>36</v>
      </c>
      <c r="E32" s="3"/>
    </row>
    <row r="33" spans="2:5" ht="16.5">
      <c r="B33" s="3"/>
      <c r="C33" s="3"/>
      <c r="D33" s="3"/>
      <c r="E33" s="3"/>
    </row>
    <row r="34" ht="15" hidden="1"/>
    <row r="35" spans="2:5" ht="15" hidden="1">
      <c r="B35" s="1">
        <f>B4</f>
        <v>462299</v>
      </c>
      <c r="C35" s="1">
        <f>B5</f>
        <v>591353</v>
      </c>
      <c r="D35" s="1">
        <f>B6</f>
        <v>957606</v>
      </c>
      <c r="E35" s="1">
        <f>SUM(B35:D35)</f>
        <v>2011258</v>
      </c>
    </row>
    <row r="36" ht="15" hidden="1"/>
    <row r="37" spans="1:5" ht="15" hidden="1">
      <c r="A37" t="s">
        <v>46</v>
      </c>
      <c r="B37" s="1">
        <f>-68908-33366-40039-33366-33366</f>
        <v>-209045</v>
      </c>
      <c r="C37" s="1">
        <f>-16400-16400</f>
        <v>-32800</v>
      </c>
      <c r="D37" s="1">
        <v>0</v>
      </c>
      <c r="E37" s="1">
        <f>SUM(B37:D37)</f>
        <v>-241845</v>
      </c>
    </row>
    <row r="38" ht="15" hidden="1"/>
    <row r="39" spans="1:5" ht="15" hidden="1">
      <c r="A39" t="s">
        <v>1</v>
      </c>
      <c r="B39" s="1">
        <v>-50153</v>
      </c>
      <c r="C39" s="1">
        <v>0</v>
      </c>
      <c r="D39" s="1">
        <f>-282922-62628+1771</f>
        <v>-343779</v>
      </c>
      <c r="E39" s="1">
        <f>SUM(B39:D39)</f>
        <v>-393932</v>
      </c>
    </row>
    <row r="40" ht="15" hidden="1"/>
    <row r="41" spans="1:5" ht="15" hidden="1">
      <c r="A41" t="s">
        <v>16</v>
      </c>
      <c r="B41" s="1">
        <f>(-734.85-49.53-32.66)/37.244*100</f>
        <v>-2193.7493287509396</v>
      </c>
      <c r="C41" s="1">
        <f>(-186-1066.65-5333.25-5333.25-1641-328.2)/37.244*100</f>
        <v>-37290.167543765434</v>
      </c>
      <c r="D41" s="1">
        <f>(-341.7-341.77-1953-1318.27-2441.25-1245)/37.244*100</f>
        <v>-20516.0294275588</v>
      </c>
      <c r="E41" s="1">
        <f>SUM(B41:D41)</f>
        <v>-59999.94630007517</v>
      </c>
    </row>
    <row r="42" ht="15" hidden="1"/>
    <row r="43" spans="1:5" ht="15" hidden="1">
      <c r="A43" t="s">
        <v>47</v>
      </c>
      <c r="E43" s="1">
        <v>-40000</v>
      </c>
    </row>
    <row r="44" ht="15" hidden="1"/>
    <row r="45" spans="1:5" ht="15" hidden="1">
      <c r="A45" t="s">
        <v>43</v>
      </c>
      <c r="B45" s="1">
        <f>-4200-7290</f>
        <v>-11490</v>
      </c>
      <c r="C45" s="1">
        <v>0</v>
      </c>
      <c r="D45" s="1">
        <v>-9090</v>
      </c>
      <c r="E45" s="1">
        <f>SUM(B45:D45)</f>
        <v>-20580</v>
      </c>
    </row>
    <row r="47" spans="1:8" ht="16.5">
      <c r="A47" t="s">
        <v>54</v>
      </c>
      <c r="B47" s="4">
        <f>SUM(B35:B46)</f>
        <v>189417.25067124906</v>
      </c>
      <c r="C47" s="4">
        <f>SUM(C35:C46)</f>
        <v>521262.83245623455</v>
      </c>
      <c r="D47" s="4">
        <f>SUM(D35:D46)-40000</f>
        <v>544220.9705724412</v>
      </c>
      <c r="E47" s="4">
        <f>SUM(E35:E46)</f>
        <v>1254901.0536999248</v>
      </c>
      <c r="F47" s="3" t="s">
        <v>56</v>
      </c>
      <c r="G47" s="1"/>
      <c r="H47" s="1"/>
    </row>
    <row r="48" spans="1:5" ht="15">
      <c r="A48" t="s">
        <v>55</v>
      </c>
      <c r="B48" s="4">
        <v>50153</v>
      </c>
      <c r="C48" s="4">
        <v>0</v>
      </c>
      <c r="D48" s="4">
        <v>343779</v>
      </c>
      <c r="E48" s="4">
        <f>SUM(B48:D48)</f>
        <v>393932</v>
      </c>
    </row>
    <row r="49" spans="1:5" ht="15">
      <c r="A49" t="s">
        <v>72</v>
      </c>
      <c r="B49" s="4">
        <f>SUM(B47:B48)/(SUM($D$4:$D$6)-60000)*$B$11</f>
        <v>3175.87914937925</v>
      </c>
      <c r="C49" s="4">
        <f>SUM(C47:C48)/(SUM($D$4:$D$6)-60000)*$B$11</f>
        <v>6910.155815697854</v>
      </c>
      <c r="D49" s="4">
        <f>SUM(D47:D48)/(SUM($D$4:$D$6)-60000)*$B$11</f>
        <v>11771.831365908634</v>
      </c>
      <c r="E49" s="4">
        <f>SUM(B49:D49)</f>
        <v>21857.866330985737</v>
      </c>
    </row>
    <row r="50" spans="1:5" ht="15">
      <c r="A50" t="s">
        <v>73</v>
      </c>
      <c r="B50" s="4">
        <f>SUM(B47:B48)/(SUM($B$4:$B$6)-60000)*$B$7</f>
        <v>4078.0490719553936</v>
      </c>
      <c r="C50" s="4">
        <f>SUM(C47:C48)/(SUM($B$4:$B$6)-60000)*$B$7</f>
        <v>8873.119279989542</v>
      </c>
      <c r="D50" s="4">
        <f>SUM(D47:D48)/(SUM($B$4:$B$6)-60000)*$B$7</f>
        <v>15115.847838965241</v>
      </c>
      <c r="E50" s="4">
        <f>SUM(B50:D50)</f>
        <v>28067.016190910177</v>
      </c>
    </row>
    <row r="51" spans="2:5" ht="15">
      <c r="B51" s="2">
        <f>SUM(B47:B50)</f>
        <v>246824.1788925837</v>
      </c>
      <c r="C51" s="2">
        <f>SUM(C47:C50)</f>
        <v>537046.1075519219</v>
      </c>
      <c r="D51" s="2">
        <f>SUM(D47:D50)</f>
        <v>914887.6497773151</v>
      </c>
      <c r="E51" s="2">
        <f>SUM(E47:E50)</f>
        <v>1698757.9362218208</v>
      </c>
    </row>
    <row r="53" spans="1:8" ht="16.5">
      <c r="A53" s="9" t="s">
        <v>68</v>
      </c>
      <c r="D53" s="14"/>
      <c r="E53" s="14"/>
      <c r="F53" s="14"/>
      <c r="G53" s="15"/>
      <c r="H53" s="15"/>
    </row>
    <row r="54" spans="1:9" ht="15">
      <c r="A54" s="16" t="s">
        <v>69</v>
      </c>
      <c r="D54" s="14"/>
      <c r="E54" s="14"/>
      <c r="F54" s="14"/>
      <c r="G54" s="15"/>
      <c r="H54" s="15"/>
      <c r="I54" s="15"/>
    </row>
    <row r="55" ht="15">
      <c r="A55" t="s">
        <v>38</v>
      </c>
    </row>
    <row r="60" ht="16.5">
      <c r="A60" s="8" t="s">
        <v>57</v>
      </c>
    </row>
    <row r="62" spans="2:5" ht="16.5">
      <c r="B62" s="3" t="s">
        <v>0</v>
      </c>
      <c r="C62" s="3" t="s">
        <v>33</v>
      </c>
      <c r="D62" s="3" t="s">
        <v>35</v>
      </c>
      <c r="E62" s="3" t="s">
        <v>19</v>
      </c>
    </row>
    <row r="63" spans="2:5" ht="16.5">
      <c r="B63" s="3"/>
      <c r="C63" s="3" t="s">
        <v>34</v>
      </c>
      <c r="D63" s="3" t="s">
        <v>36</v>
      </c>
      <c r="E63" s="3"/>
    </row>
    <row r="64" spans="1:5" ht="15">
      <c r="A64" t="s">
        <v>58</v>
      </c>
      <c r="B64" s="12">
        <f>142313+33366+33366</f>
        <v>209045</v>
      </c>
      <c r="C64" s="12">
        <f>16400+16400</f>
        <v>32800</v>
      </c>
      <c r="D64" s="12">
        <v>0</v>
      </c>
      <c r="E64" s="12">
        <f>SUM(B64:D64)</f>
        <v>241845</v>
      </c>
    </row>
    <row r="65" spans="1:5" ht="15">
      <c r="A65" t="s">
        <v>59</v>
      </c>
      <c r="B65" s="12">
        <v>339561</v>
      </c>
      <c r="C65" s="12">
        <v>156270</v>
      </c>
      <c r="D65" s="12">
        <v>0</v>
      </c>
      <c r="E65" s="12">
        <f>SUM(B65:D65)</f>
        <v>495831</v>
      </c>
    </row>
    <row r="66" spans="1:5" ht="15">
      <c r="A66" t="s">
        <v>72</v>
      </c>
      <c r="B66" s="4">
        <f>SUM(B64:B65)/(SUM($D$4:$D$6)-60000)*$B$11</f>
        <v>7272.632356240415</v>
      </c>
      <c r="C66" s="4">
        <f>SUM(C64:C65)/(SUM($D$4:$D$6)-60000)*$B$11</f>
        <v>2506.419178051963</v>
      </c>
      <c r="D66" s="4">
        <f>SUM(D64:D65)/(SUM($D$4:$D$6)-60000)*$B$11</f>
        <v>0</v>
      </c>
      <c r="E66" s="12">
        <f>SUM(B66:D66)</f>
        <v>9779.051534292379</v>
      </c>
    </row>
    <row r="67" spans="1:5" ht="15">
      <c r="A67" t="s">
        <v>73</v>
      </c>
      <c r="B67" s="4">
        <f>SUM(B64:B64)/(SUM($B$4:$B$6)-60000)*$B$7</f>
        <v>3558.4375182574527</v>
      </c>
      <c r="C67" s="4">
        <f>SUM(C64:C64)/(SUM($B$4:$B$6)-60000)*$B$7</f>
        <v>558.333136878875</v>
      </c>
      <c r="D67" s="4">
        <f>SUM(D64:D64)/(SUM($B$4:$B$6)-60000)*$B$7</f>
        <v>0</v>
      </c>
      <c r="E67" s="12">
        <f>SUM(B67:D67)</f>
        <v>4116.770655136328</v>
      </c>
    </row>
    <row r="68" spans="1:5" ht="15">
      <c r="A68" t="s">
        <v>74</v>
      </c>
      <c r="B68" s="4">
        <v>5119</v>
      </c>
      <c r="C68" s="4">
        <v>0</v>
      </c>
      <c r="D68" s="4">
        <v>0</v>
      </c>
      <c r="E68" s="12">
        <f>SUM(B68:D68)</f>
        <v>5119</v>
      </c>
    </row>
    <row r="69" spans="1:5" ht="15">
      <c r="A69" t="s">
        <v>60</v>
      </c>
      <c r="B69" s="12"/>
      <c r="C69" s="12"/>
      <c r="D69" s="12"/>
      <c r="E69" s="12"/>
    </row>
    <row r="70" spans="2:5" ht="16.5">
      <c r="B70" s="13">
        <f>SUM(B64:B69)</f>
        <v>564556.0698744978</v>
      </c>
      <c r="C70" s="13">
        <f>SUM(C64:C69)</f>
        <v>192134.75231493084</v>
      </c>
      <c r="D70" s="13">
        <f>SUM(D64:D69)</f>
        <v>0</v>
      </c>
      <c r="E70" s="13">
        <f>SUM(E64:E69)</f>
        <v>756690.8221894287</v>
      </c>
    </row>
    <row r="71" spans="2:5" ht="16.5">
      <c r="B71" s="3"/>
      <c r="C71" s="3"/>
      <c r="D71" s="3"/>
      <c r="E71" s="3"/>
    </row>
    <row r="72" spans="2:5" ht="16.5">
      <c r="B72" s="3"/>
      <c r="C72" s="3"/>
      <c r="D72" s="3"/>
      <c r="E72" s="3"/>
    </row>
    <row r="73" spans="2:5" ht="16.5">
      <c r="B73" s="3"/>
      <c r="C73" s="3"/>
      <c r="D73" s="3"/>
      <c r="E73" s="3"/>
    </row>
    <row r="74" ht="15">
      <c r="A74" t="s">
        <v>62</v>
      </c>
    </row>
    <row r="76" ht="15">
      <c r="A76" t="s">
        <v>49</v>
      </c>
    </row>
    <row r="77" ht="15">
      <c r="A77" t="s">
        <v>50</v>
      </c>
    </row>
    <row r="78" ht="15">
      <c r="A78" t="s">
        <v>2</v>
      </c>
    </row>
    <row r="79" ht="15">
      <c r="A79" t="s">
        <v>40</v>
      </c>
    </row>
    <row r="80" ht="15">
      <c r="A80" t="s">
        <v>70</v>
      </c>
    </row>
    <row r="81" ht="15">
      <c r="A81" t="s">
        <v>71</v>
      </c>
    </row>
    <row r="83" ht="16.5">
      <c r="A83" s="8" t="s">
        <v>61</v>
      </c>
    </row>
    <row r="85" spans="2:5" ht="16.5">
      <c r="B85" s="3" t="s">
        <v>0</v>
      </c>
      <c r="C85" s="3" t="s">
        <v>33</v>
      </c>
      <c r="D85" s="3" t="s">
        <v>35</v>
      </c>
      <c r="E85" s="3" t="s">
        <v>19</v>
      </c>
    </row>
    <row r="86" spans="2:5" ht="16.5">
      <c r="B86" s="3"/>
      <c r="C86" s="3" t="s">
        <v>34</v>
      </c>
      <c r="D86" s="3" t="s">
        <v>36</v>
      </c>
      <c r="E86" s="3"/>
    </row>
    <row r="87" spans="1:5" ht="15">
      <c r="A87" t="s">
        <v>63</v>
      </c>
      <c r="B87" s="12">
        <v>0</v>
      </c>
      <c r="C87" s="12">
        <v>0</v>
      </c>
      <c r="D87" s="12">
        <v>40000</v>
      </c>
      <c r="E87" s="12">
        <f>SUM(B87:D87)</f>
        <v>40000</v>
      </c>
    </row>
    <row r="88" spans="1:5" ht="15">
      <c r="A88" t="s">
        <v>64</v>
      </c>
      <c r="B88" s="12">
        <f>4200+7290</f>
        <v>11490</v>
      </c>
      <c r="C88" s="12">
        <v>0</v>
      </c>
      <c r="D88" s="12">
        <v>9090</v>
      </c>
      <c r="E88" s="12">
        <f>SUM(B88:D88)</f>
        <v>20580</v>
      </c>
    </row>
    <row r="89" spans="1:5" ht="15">
      <c r="A89" t="s">
        <v>66</v>
      </c>
      <c r="B89" s="12">
        <v>0</v>
      </c>
      <c r="C89" s="12">
        <v>0</v>
      </c>
      <c r="D89" s="12">
        <v>0</v>
      </c>
      <c r="E89" s="12">
        <v>14718</v>
      </c>
    </row>
    <row r="90" spans="1:5" ht="15">
      <c r="A90" t="s">
        <v>72</v>
      </c>
      <c r="B90" s="4">
        <f>SUM(B87:B89)/(SUM($D$4:$D$6)-60000)*$B$11</f>
        <v>152.31795819440975</v>
      </c>
      <c r="C90" s="4">
        <f>SUM(C87:C89)/(SUM($D$4:$D$6)-60000)*$B$11</f>
        <v>0</v>
      </c>
      <c r="D90" s="4">
        <f>SUM(D87:D89)/(SUM($D$4:$D$6)-60000)*$B$11</f>
        <v>650.7648884041406</v>
      </c>
      <c r="E90" s="12">
        <f>SUM(B90:D90)</f>
        <v>803.0828465985503</v>
      </c>
    </row>
    <row r="91" spans="1:5" ht="15">
      <c r="A91" t="s">
        <v>73</v>
      </c>
      <c r="B91" s="4">
        <f>SUM(B87:B88)/(SUM($B$4:$B$6)-60000)*$B$7</f>
        <v>195.5868214249474</v>
      </c>
      <c r="C91" s="4">
        <f>SUM(C87:C88)/(SUM($B$4:$B$6)-60000)*$B$7</f>
        <v>0</v>
      </c>
      <c r="D91" s="4">
        <f>SUM(D87:D88)/(SUM($B$4:$B$6)-60000)*$B$7</f>
        <v>835.6272466275603</v>
      </c>
      <c r="E91" s="12">
        <f>SUM(B91:D91)</f>
        <v>1031.2140680525076</v>
      </c>
    </row>
    <row r="92" spans="1:5" ht="15">
      <c r="A92" t="s">
        <v>65</v>
      </c>
      <c r="B92" s="12"/>
      <c r="C92" s="12"/>
      <c r="D92" s="12"/>
      <c r="E92" s="12"/>
    </row>
    <row r="93" spans="2:5" ht="16.5">
      <c r="B93" s="13">
        <f>SUM(B87:B92)</f>
        <v>11837.904779619357</v>
      </c>
      <c r="C93" s="13">
        <f>SUM(C87:C92)</f>
        <v>0</v>
      </c>
      <c r="D93" s="13">
        <f>SUM(D87:D92)</f>
        <v>50576.3921350317</v>
      </c>
      <c r="E93" s="13">
        <f>SUM(E87:E92)</f>
        <v>77132.29691465106</v>
      </c>
    </row>
    <row r="97" ht="15">
      <c r="A97" t="s">
        <v>22</v>
      </c>
    </row>
    <row r="98" ht="15">
      <c r="A98" t="s">
        <v>23</v>
      </c>
    </row>
    <row r="100" ht="15">
      <c r="A100" t="s">
        <v>24</v>
      </c>
    </row>
    <row r="101" ht="15">
      <c r="A101" t="s">
        <v>25</v>
      </c>
    </row>
  </sheetData>
  <mergeCells count="1">
    <mergeCell ref="A1:F1"/>
  </mergeCells>
  <printOptions/>
  <pageMargins left="0.984251968503937" right="0.3937007874015748" top="0.5905511811023623" bottom="0.5905511811023623" header="0.5118110236220472" footer="0.3937007874015748"/>
  <pageSetup horizontalDpi="300" verticalDpi="300" orientation="portrait" paperSize="9" r:id="rId1"/>
  <headerFooter alignWithMargins="0">
    <oddFooter>&amp;LPrepared By Paula Summersfield&amp;R&amp;D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4">
      <selection activeCell="D49" sqref="D49"/>
    </sheetView>
  </sheetViews>
  <sheetFormatPr defaultColWidth="9.00390625" defaultRowHeight="15"/>
  <cols>
    <col min="1" max="1" width="24.375" style="0" customWidth="1"/>
    <col min="2" max="3" width="9.00390625" style="1" customWidth="1"/>
    <col min="4" max="4" width="12.75390625" style="1" customWidth="1"/>
    <col min="5" max="6" width="9.00390625" style="1" customWidth="1"/>
  </cols>
  <sheetData>
    <row r="1" spans="1:7" ht="16.5">
      <c r="A1" s="17" t="s">
        <v>41</v>
      </c>
      <c r="B1" s="17"/>
      <c r="C1" s="17"/>
      <c r="D1" s="17"/>
      <c r="E1" s="17"/>
      <c r="F1" s="17"/>
      <c r="G1" s="6"/>
    </row>
    <row r="3" spans="2:4" ht="16.5">
      <c r="B3" s="11" t="s">
        <v>17</v>
      </c>
      <c r="C3" s="11" t="s">
        <v>18</v>
      </c>
      <c r="D3" s="11" t="s">
        <v>19</v>
      </c>
    </row>
    <row r="4" spans="1:4" ht="15">
      <c r="A4" t="s">
        <v>3</v>
      </c>
      <c r="B4" s="1">
        <v>462299</v>
      </c>
      <c r="C4" s="1">
        <v>339561</v>
      </c>
      <c r="D4" s="1">
        <f>B4+C4</f>
        <v>801860</v>
      </c>
    </row>
    <row r="5" spans="1:4" ht="15">
      <c r="A5" t="s">
        <v>4</v>
      </c>
      <c r="B5" s="1">
        <v>591353</v>
      </c>
      <c r="C5" s="1">
        <v>156270</v>
      </c>
      <c r="D5" s="1">
        <f aca="true" t="shared" si="0" ref="D5:D15">B5+C5</f>
        <v>747623</v>
      </c>
    </row>
    <row r="6" spans="1:4" ht="15">
      <c r="A6" t="s">
        <v>37</v>
      </c>
      <c r="B6" s="1">
        <f>1009861-(7465*7)</f>
        <v>957606</v>
      </c>
      <c r="C6" s="1">
        <v>0</v>
      </c>
      <c r="D6" s="1">
        <f t="shared" si="0"/>
        <v>957606</v>
      </c>
    </row>
    <row r="7" spans="1:4" ht="15">
      <c r="A7" t="s">
        <v>5</v>
      </c>
      <c r="B7" s="1">
        <v>38334</v>
      </c>
      <c r="C7" s="1">
        <v>0</v>
      </c>
      <c r="D7" s="1">
        <f t="shared" si="0"/>
        <v>38334</v>
      </c>
    </row>
    <row r="8" spans="1:4" ht="15">
      <c r="A8" t="s">
        <v>6</v>
      </c>
      <c r="B8" s="1">
        <v>11650</v>
      </c>
      <c r="C8" s="1">
        <v>0</v>
      </c>
      <c r="D8" s="1">
        <f t="shared" si="0"/>
        <v>11650</v>
      </c>
    </row>
    <row r="9" spans="1:4" ht="15">
      <c r="A9" t="s">
        <v>10</v>
      </c>
      <c r="B9" s="1">
        <f>5000+1500</f>
        <v>6500</v>
      </c>
      <c r="C9" s="1">
        <v>0</v>
      </c>
      <c r="D9" s="1">
        <f t="shared" si="0"/>
        <v>6500</v>
      </c>
    </row>
    <row r="10" spans="1:4" ht="15">
      <c r="A10" t="s">
        <v>11</v>
      </c>
      <c r="B10" s="1">
        <v>13110</v>
      </c>
      <c r="C10" s="1">
        <v>0</v>
      </c>
      <c r="D10" s="1">
        <f t="shared" si="0"/>
        <v>13110</v>
      </c>
    </row>
    <row r="11" spans="1:4" ht="15">
      <c r="A11" t="s">
        <v>7</v>
      </c>
      <c r="B11" s="1">
        <v>32440</v>
      </c>
      <c r="C11" s="1">
        <v>0</v>
      </c>
      <c r="D11" s="1">
        <f t="shared" si="0"/>
        <v>32440</v>
      </c>
    </row>
    <row r="12" spans="1:4" ht="15">
      <c r="A12" t="s">
        <v>8</v>
      </c>
      <c r="B12" s="1">
        <v>21820</v>
      </c>
      <c r="C12" s="1">
        <v>0</v>
      </c>
      <c r="D12" s="1">
        <f t="shared" si="0"/>
        <v>21820</v>
      </c>
    </row>
    <row r="13" spans="1:5" ht="15">
      <c r="A13" t="s">
        <v>32</v>
      </c>
      <c r="B13" s="1">
        <f>14220*1.035</f>
        <v>14717.699999999999</v>
      </c>
      <c r="C13" s="1">
        <v>0</v>
      </c>
      <c r="D13" s="1">
        <f t="shared" si="0"/>
        <v>14717.699999999999</v>
      </c>
      <c r="E13" s="1" t="s">
        <v>52</v>
      </c>
    </row>
    <row r="14" spans="1:4" ht="15">
      <c r="A14" t="s">
        <v>12</v>
      </c>
      <c r="B14" s="1">
        <v>6260</v>
      </c>
      <c r="C14" s="1">
        <v>0</v>
      </c>
      <c r="D14" s="1">
        <f t="shared" si="0"/>
        <v>6260</v>
      </c>
    </row>
    <row r="15" spans="1:4" ht="15">
      <c r="A15" t="s">
        <v>9</v>
      </c>
      <c r="B15" s="1">
        <v>-73252</v>
      </c>
      <c r="C15" s="1">
        <v>0</v>
      </c>
      <c r="D15" s="1">
        <f t="shared" si="0"/>
        <v>-73252</v>
      </c>
    </row>
    <row r="16" spans="2:4" ht="15">
      <c r="B16" s="2">
        <f>SUM(B4:B15)</f>
        <v>2082837.7000000002</v>
      </c>
      <c r="C16" s="2">
        <f>SUM(C4:C15)</f>
        <v>495831</v>
      </c>
      <c r="D16" s="2">
        <f>SUM(D4:D15)</f>
        <v>2578668.7</v>
      </c>
    </row>
    <row r="17" ht="15">
      <c r="B17" s="4"/>
    </row>
    <row r="18" spans="1:4" ht="15">
      <c r="A18" t="s">
        <v>13</v>
      </c>
      <c r="B18" s="4">
        <f>D18-C18</f>
        <v>1560092</v>
      </c>
      <c r="C18" s="1">
        <f>C16</f>
        <v>495831</v>
      </c>
      <c r="D18" s="1">
        <f>2055923</f>
        <v>2055923</v>
      </c>
    </row>
    <row r="20" spans="1:4" ht="17.25" thickBot="1">
      <c r="A20" t="s">
        <v>14</v>
      </c>
      <c r="B20" s="5">
        <f>B16-B18</f>
        <v>522745.7000000002</v>
      </c>
      <c r="C20" s="5">
        <f>C16-C18</f>
        <v>0</v>
      </c>
      <c r="D20" s="5">
        <f>D16-D18</f>
        <v>522745.7000000002</v>
      </c>
    </row>
    <row r="21" ht="15.75" thickTop="1"/>
    <row r="22" ht="16.5">
      <c r="A22" s="9" t="s">
        <v>42</v>
      </c>
    </row>
    <row r="24" ht="15">
      <c r="A24" t="s">
        <v>26</v>
      </c>
    </row>
    <row r="25" ht="15">
      <c r="A25" t="s">
        <v>51</v>
      </c>
    </row>
    <row r="27" ht="15">
      <c r="A27" t="s">
        <v>15</v>
      </c>
    </row>
    <row r="29" spans="2:5" ht="16.5">
      <c r="B29" s="3" t="s">
        <v>0</v>
      </c>
      <c r="C29" s="3" t="s">
        <v>33</v>
      </c>
      <c r="D29" s="3" t="s">
        <v>35</v>
      </c>
      <c r="E29" s="3" t="s">
        <v>19</v>
      </c>
    </row>
    <row r="30" spans="2:5" ht="16.5">
      <c r="B30" s="3"/>
      <c r="C30" s="3" t="s">
        <v>34</v>
      </c>
      <c r="D30" s="3" t="s">
        <v>36</v>
      </c>
      <c r="E30" s="3"/>
    </row>
    <row r="32" spans="2:5" ht="15">
      <c r="B32" s="1">
        <f>B4</f>
        <v>462299</v>
      </c>
      <c r="C32" s="1">
        <f>B5</f>
        <v>591353</v>
      </c>
      <c r="D32" s="1">
        <f>B6</f>
        <v>957606</v>
      </c>
      <c r="E32" s="1">
        <f>SUM(B32:D32)</f>
        <v>2011258</v>
      </c>
    </row>
    <row r="34" spans="1:5" ht="15">
      <c r="A34" t="s">
        <v>46</v>
      </c>
      <c r="B34" s="1">
        <f>-68908-33366-40039</f>
        <v>-142313</v>
      </c>
      <c r="C34" s="1">
        <v>0</v>
      </c>
      <c r="D34" s="1">
        <v>0</v>
      </c>
      <c r="E34" s="1">
        <f>SUM(B34:D34)</f>
        <v>-142313</v>
      </c>
    </row>
    <row r="36" spans="1:5" ht="15">
      <c r="A36" t="s">
        <v>1</v>
      </c>
      <c r="B36" s="1">
        <v>-50153</v>
      </c>
      <c r="C36" s="1">
        <v>0</v>
      </c>
      <c r="D36" s="1">
        <f>-282922-62628</f>
        <v>-345550</v>
      </c>
      <c r="E36" s="1">
        <f>SUM(B36:D36)</f>
        <v>-395703</v>
      </c>
    </row>
    <row r="38" spans="1:5" ht="15">
      <c r="A38" t="s">
        <v>16</v>
      </c>
      <c r="B38" s="1">
        <f>(-734.85-49.53-32.66)/37.244*100</f>
        <v>-2193.7493287509396</v>
      </c>
      <c r="C38" s="1">
        <f>(-186-1066.65-5333.25-5333.25-1641-328.2)/37.244*100</f>
        <v>-37290.167543765434</v>
      </c>
      <c r="D38" s="1">
        <f>(-341.7-341.77-1953-1318.27-2441.25-1245)/37.244*100</f>
        <v>-20516.0294275588</v>
      </c>
      <c r="E38" s="1">
        <f>SUM(B38:D38)</f>
        <v>-59999.94630007517</v>
      </c>
    </row>
    <row r="40" spans="1:5" ht="15">
      <c r="A40" t="s">
        <v>47</v>
      </c>
      <c r="E40" s="1">
        <v>-40000</v>
      </c>
    </row>
    <row r="42" spans="1:5" ht="15">
      <c r="A42" t="s">
        <v>43</v>
      </c>
      <c r="E42" s="1">
        <f>SUM(B42:D42)</f>
        <v>0</v>
      </c>
    </row>
    <row r="44" spans="2:5" ht="15">
      <c r="B44" s="2">
        <f>SUM(B32:B43)</f>
        <v>267639.25067124906</v>
      </c>
      <c r="C44" s="2">
        <f>SUM(C32:C43)</f>
        <v>554062.8324562346</v>
      </c>
      <c r="D44" s="2">
        <f>SUM(D32:D43)</f>
        <v>591539.9705724412</v>
      </c>
      <c r="E44" s="2">
        <f>SUM(E32:E43)</f>
        <v>1373242.0536999248</v>
      </c>
    </row>
    <row r="46" ht="15">
      <c r="A46" t="s">
        <v>38</v>
      </c>
    </row>
    <row r="48" ht="15">
      <c r="A48" t="s">
        <v>39</v>
      </c>
    </row>
    <row r="50" ht="15">
      <c r="A50" t="s">
        <v>49</v>
      </c>
    </row>
    <row r="51" ht="15">
      <c r="A51" t="s">
        <v>50</v>
      </c>
    </row>
    <row r="52" ht="15">
      <c r="A52" t="s">
        <v>2</v>
      </c>
    </row>
    <row r="53" ht="15">
      <c r="A53" t="s">
        <v>40</v>
      </c>
    </row>
    <row r="55" ht="15">
      <c r="A55" t="s">
        <v>20</v>
      </c>
    </row>
    <row r="56" ht="15">
      <c r="A56" t="s">
        <v>21</v>
      </c>
    </row>
    <row r="58" ht="15">
      <c r="A58" t="s">
        <v>22</v>
      </c>
    </row>
    <row r="59" ht="15">
      <c r="A59" t="s">
        <v>23</v>
      </c>
    </row>
    <row r="61" ht="15">
      <c r="A61" t="s">
        <v>24</v>
      </c>
    </row>
    <row r="62" ht="15">
      <c r="A62" t="s">
        <v>25</v>
      </c>
    </row>
  </sheetData>
  <mergeCells count="1">
    <mergeCell ref="A1:F1"/>
  </mergeCells>
  <printOptions/>
  <pageMargins left="0.984251968503937" right="0.3937007874015748" top="0.5905511811023623" bottom="0.5905511811023623" header="0.5118110236220472" footer="0.3937007874015748"/>
  <pageSetup horizontalDpi="300" verticalDpi="300" orientation="portrait" paperSize="9" r:id="rId1"/>
  <headerFooter alignWithMargins="0">
    <oddFooter>&amp;LPrepared By Paula Summersfield&amp;R&amp;D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7">
      <selection activeCell="B10" sqref="B10"/>
    </sheetView>
  </sheetViews>
  <sheetFormatPr defaultColWidth="9.00390625" defaultRowHeight="15"/>
  <cols>
    <col min="1" max="1" width="24.875" style="0" customWidth="1"/>
  </cols>
  <sheetData>
    <row r="3" spans="1:6" ht="16.5">
      <c r="A3" s="8" t="s">
        <v>31</v>
      </c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 t="s">
        <v>17</v>
      </c>
      <c r="C6" s="1" t="s">
        <v>18</v>
      </c>
      <c r="D6" s="1" t="s">
        <v>19</v>
      </c>
      <c r="E6" s="1"/>
      <c r="F6" s="1"/>
    </row>
    <row r="7" spans="2:6" ht="15">
      <c r="B7" s="7" t="s">
        <v>27</v>
      </c>
      <c r="C7" s="1"/>
      <c r="D7" s="1"/>
      <c r="E7" s="1"/>
      <c r="F7" s="1"/>
    </row>
    <row r="8" spans="1:6" ht="15">
      <c r="A8" t="s">
        <v>29</v>
      </c>
      <c r="B8" s="1">
        <f>Sheet1!E32+Sheet1!E36+Sheet1!E38</f>
        <v>1555555.0536999248</v>
      </c>
      <c r="C8" s="1">
        <f>Sheet1!C16</f>
        <v>495831</v>
      </c>
      <c r="D8" s="1">
        <f>B8+C8</f>
        <v>2051386.0536999248</v>
      </c>
      <c r="E8" s="1"/>
      <c r="F8" s="1"/>
    </row>
    <row r="9" spans="1:6" ht="15">
      <c r="A9" t="s">
        <v>30</v>
      </c>
      <c r="B9" s="1"/>
      <c r="C9" s="1"/>
      <c r="D9" s="1"/>
      <c r="E9" s="1"/>
      <c r="F9" s="1"/>
    </row>
    <row r="10" spans="2:6" ht="15">
      <c r="B10" s="1"/>
      <c r="C10" s="1"/>
      <c r="D10" s="1"/>
      <c r="E10" s="1"/>
      <c r="F10" s="1"/>
    </row>
    <row r="11" spans="1:6" ht="15">
      <c r="A11" t="s">
        <v>44</v>
      </c>
      <c r="B11" s="1">
        <f>-Sheet1!B34</f>
        <v>142313</v>
      </c>
      <c r="C11" s="1">
        <v>0</v>
      </c>
      <c r="D11" s="1">
        <f>B11+C11</f>
        <v>142313</v>
      </c>
      <c r="E11" s="1"/>
      <c r="F11" s="1"/>
    </row>
    <row r="12" spans="2:6" ht="15">
      <c r="B12" s="1"/>
      <c r="C12" s="1"/>
      <c r="D12" s="1"/>
      <c r="E12" s="1"/>
      <c r="F12" s="1"/>
    </row>
    <row r="13" spans="1:6" ht="15">
      <c r="A13" t="s">
        <v>28</v>
      </c>
      <c r="B13" s="1">
        <v>40000</v>
      </c>
      <c r="C13" s="1">
        <v>0</v>
      </c>
      <c r="D13" s="1">
        <f>B13+C13</f>
        <v>40000</v>
      </c>
      <c r="E13" s="1"/>
      <c r="F13" s="1"/>
    </row>
    <row r="14" spans="2:6" ht="15">
      <c r="B14" s="1"/>
      <c r="C14" s="1"/>
      <c r="D14" s="1"/>
      <c r="E14" s="1"/>
      <c r="F14" s="1"/>
    </row>
    <row r="15" spans="1:6" ht="15">
      <c r="A15" t="s">
        <v>48</v>
      </c>
      <c r="B15" s="1"/>
      <c r="C15" s="1">
        <v>0</v>
      </c>
      <c r="D15" s="1">
        <f>B15+C15</f>
        <v>0</v>
      </c>
      <c r="E15" s="1"/>
      <c r="F15" s="1"/>
    </row>
    <row r="16" spans="2:6" ht="15">
      <c r="B16" s="1"/>
      <c r="C16" s="1"/>
      <c r="D16" s="1"/>
      <c r="E16" s="1"/>
      <c r="F16" s="1"/>
    </row>
    <row r="17" spans="2:7" ht="15">
      <c r="B17" s="2">
        <f>B8-B11-B13-B15</f>
        <v>1373242.0536999248</v>
      </c>
      <c r="C17" s="2">
        <f>C8-C11-C13-C15</f>
        <v>495831</v>
      </c>
      <c r="D17" s="2">
        <f>B17+C17</f>
        <v>1869073.0536999248</v>
      </c>
      <c r="E17" s="1" t="s">
        <v>45</v>
      </c>
      <c r="F17" s="1"/>
      <c r="G17" s="10">
        <f>Sheet1!B20</f>
        <v>522745.7000000002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&amp; Leisure Direct</dc:creator>
  <cp:keywords/>
  <dc:description/>
  <cp:lastModifiedBy>City Of Salford</cp:lastModifiedBy>
  <cp:lastPrinted>2002-10-30T12:38:08Z</cp:lastPrinted>
  <dcterms:created xsi:type="dcterms:W3CDTF">2002-07-24T17:53:38Z</dcterms:created>
  <dcterms:modified xsi:type="dcterms:W3CDTF">2002-10-30T12:38:32Z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