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345" windowHeight="7455" activeTab="0"/>
  </bookViews>
  <sheets>
    <sheet name="Collection Fund Analysis" sheetId="1" r:id="rId1"/>
  </sheets>
  <definedNames/>
  <calcPr fullCalcOnLoad="1"/>
</workbook>
</file>

<file path=xl/sharedStrings.xml><?xml version="1.0" encoding="utf-8"?>
<sst xmlns="http://schemas.openxmlformats.org/spreadsheetml/2006/main" count="82" uniqueCount="46">
  <si>
    <t>£000</t>
  </si>
  <si>
    <t>00/01</t>
  </si>
  <si>
    <t>01/02</t>
  </si>
  <si>
    <t>02/03</t>
  </si>
  <si>
    <t>03/04</t>
  </si>
  <si>
    <t>04/05</t>
  </si>
  <si>
    <t>Cum</t>
  </si>
  <si>
    <t>Budgeted Gross Debit</t>
  </si>
  <si>
    <t>Changes to Gross Debit</t>
  </si>
  <si>
    <t>In 93/94 - 97/98</t>
  </si>
  <si>
    <t>In 98/99</t>
  </si>
  <si>
    <t>In 99/00</t>
  </si>
  <si>
    <t>In 00/01</t>
  </si>
  <si>
    <t xml:space="preserve">In 01/02  </t>
  </si>
  <si>
    <t xml:space="preserve">In 02/03  </t>
  </si>
  <si>
    <t xml:space="preserve">In 03/04  </t>
  </si>
  <si>
    <t>Current Gross Debit</t>
  </si>
  <si>
    <t>Cum. Reduction (-) or Increase (+)</t>
  </si>
  <si>
    <t>Council Tax Collected £000</t>
  </si>
  <si>
    <t>In 01/02</t>
  </si>
  <si>
    <t>In 02/03</t>
  </si>
  <si>
    <t>In 03/04</t>
  </si>
  <si>
    <t>Total Collected</t>
  </si>
  <si>
    <t>Council Tax Arrears £000</t>
  </si>
  <si>
    <t>Total Arrears (excl. write offs)</t>
  </si>
  <si>
    <t xml:space="preserve">Write Offs </t>
  </si>
  <si>
    <t xml:space="preserve">Net Arrears </t>
  </si>
  <si>
    <t xml:space="preserve">Council Tax Collected % </t>
  </si>
  <si>
    <t>Surplus/(Deficit) CTBSL/TR</t>
  </si>
  <si>
    <t>Original Budget Requirement</t>
  </si>
  <si>
    <t>Surplus (+) of Deficit (-) Declarations</t>
  </si>
  <si>
    <t>Revised Budget Requirement</t>
  </si>
  <si>
    <t>Balance Still Required</t>
  </si>
  <si>
    <t>Transfer between years</t>
  </si>
  <si>
    <t>Adjusted Balance Required</t>
  </si>
  <si>
    <t>%</t>
  </si>
  <si>
    <r>
      <t>Budgeted</t>
    </r>
    <r>
      <rPr>
        <sz val="10"/>
        <rFont val="Arial"/>
        <family val="2"/>
      </rPr>
      <t xml:space="preserve"> Collection Rate  </t>
    </r>
  </si>
  <si>
    <r>
      <t>Current</t>
    </r>
    <r>
      <rPr>
        <sz val="10"/>
        <rFont val="Arial"/>
        <family val="2"/>
      </rPr>
      <t xml:space="preserve"> Collection Rate</t>
    </r>
  </si>
  <si>
    <r>
      <t>Required</t>
    </r>
    <r>
      <rPr>
        <sz val="10"/>
        <rFont val="Arial"/>
        <family val="2"/>
      </rPr>
      <t xml:space="preserve"> Collection Rate (after transfers &amp; CTB surplus).</t>
    </r>
  </si>
  <si>
    <t>93/94 - 99/00</t>
  </si>
  <si>
    <t>05/06</t>
  </si>
  <si>
    <t xml:space="preserve">In 04/05 </t>
  </si>
  <si>
    <t>In 05/06 to 15/11/05</t>
  </si>
  <si>
    <t xml:space="preserve">In 05/06 to 15/11/05 </t>
  </si>
  <si>
    <t>In 04/05</t>
  </si>
  <si>
    <t>COUNCIL TAX COLLECTION PERFORMANCE SUMMARY                                                                                                           1993/94 to 2005/06 (Excluding Court Cost Transactions)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</si>
</sst>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0_)"/>
    <numFmt numFmtId="166" formatCode="#,##0.000"/>
    <numFmt numFmtId="167" formatCode="#,##0;\(#,##0\)"/>
    <numFmt numFmtId="168" formatCode="_-* #,##0_-;\-* #,##0_-;_-* &quot;-&quot;??_-;_-@_-"/>
    <numFmt numFmtId="169" formatCode="0.000"/>
    <numFmt numFmtId="170" formatCode="0.00_)"/>
    <numFmt numFmtId="171" formatCode="#,##0.00;\(#,##0.00\)"/>
    <numFmt numFmtId="172" formatCode="#,##0.0000"/>
    <numFmt numFmtId="173" formatCode="#,##0.00_);\(#,##0.00\)"/>
    <numFmt numFmtId="174" formatCode="0.0%"/>
    <numFmt numFmtId="175" formatCode="#,##0.000;\(#,##0.000\)"/>
    <numFmt numFmtId="176" formatCode="#,##0.000;\(#,##0.00\)"/>
    <numFmt numFmtId="177" formatCode="#,##0.0_);\(#,##0.0\)"/>
    <numFmt numFmtId="178" formatCode="mm/dd/yy"/>
    <numFmt numFmtId="179" formatCode="0_);\(0\)"/>
    <numFmt numFmtId="180" formatCode="#,##0.00\ ;[Red]\(#,##0.00\)"/>
    <numFmt numFmtId="181" formatCode="#,##0.0"/>
    <numFmt numFmtId="182" formatCode="0.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General_)"/>
    <numFmt numFmtId="192" formatCode="0.0_)"/>
    <numFmt numFmtId="193" formatCode="#,##0.00;\(\,##0.00\)"/>
    <numFmt numFmtId="194" formatCode="m/d"/>
    <numFmt numFmtId="195" formatCode="#,##0.00_-;#,##0.00\-;&quot;&quot;"/>
    <numFmt numFmtId="196" formatCode="#,##0_ ;\-#,##0\ "/>
    <numFmt numFmtId="197" formatCode="&quot;£&quot;#,##0"/>
    <numFmt numFmtId="198" formatCode="&quot;£&quot;#,##0.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#,##0_ ;[Red]\-#,##0\ "/>
    <numFmt numFmtId="203" formatCode="_-* #,##0.0_-;\-* #,##0.0_-;_-* &quot;-&quot;??_-;_-@_-"/>
    <numFmt numFmtId="204" formatCode="#,##0;\(#,##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Courier"/>
      <family val="0"/>
    </font>
    <font>
      <u val="single"/>
      <sz val="7.5"/>
      <color indexed="36"/>
      <name val="Courier"/>
      <family val="0"/>
    </font>
    <font>
      <u val="single"/>
      <sz val="10"/>
      <color indexed="12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21" applyFont="1">
      <alignment/>
      <protection/>
    </xf>
    <xf numFmtId="164" fontId="2" fillId="0" borderId="0" xfId="21" applyFont="1" applyAlignment="1">
      <alignment/>
      <protection/>
    </xf>
    <xf numFmtId="164" fontId="2" fillId="0" borderId="0" xfId="21" applyFont="1" applyAlignment="1" applyProtection="1">
      <alignment/>
      <protection locked="0"/>
    </xf>
    <xf numFmtId="3" fontId="1" fillId="0" borderId="0" xfId="21" applyNumberFormat="1" applyFont="1" applyAlignment="1" quotePrefix="1">
      <alignment horizontal="center" vertical="top" wrapText="1"/>
      <protection/>
    </xf>
    <xf numFmtId="3" fontId="2" fillId="0" borderId="0" xfId="21" applyNumberFormat="1" applyFont="1" applyAlignment="1" applyProtection="1" quotePrefix="1">
      <alignment horizontal="center" vertical="top"/>
      <protection locked="0"/>
    </xf>
    <xf numFmtId="3" fontId="2" fillId="0" borderId="0" xfId="21" applyNumberFormat="1" applyFont="1" applyAlignment="1" applyProtection="1">
      <alignment horizontal="center" vertical="top"/>
      <protection locked="0"/>
    </xf>
    <xf numFmtId="164" fontId="1" fillId="0" borderId="0" xfId="21" applyFont="1">
      <alignment/>
      <protection/>
    </xf>
    <xf numFmtId="3" fontId="1" fillId="0" borderId="0" xfId="21" applyNumberFormat="1" applyFont="1" applyAlignment="1" quotePrefix="1">
      <alignment horizontal="center"/>
      <protection/>
    </xf>
    <xf numFmtId="3" fontId="1" fillId="0" borderId="0" xfId="21" applyNumberFormat="1" applyFont="1">
      <alignment/>
      <protection/>
    </xf>
    <xf numFmtId="3" fontId="0" fillId="0" borderId="0" xfId="21" applyNumberFormat="1" applyFont="1" applyAlignment="1" quotePrefix="1">
      <alignment horizontal="center"/>
      <protection/>
    </xf>
    <xf numFmtId="3" fontId="2" fillId="0" borderId="0" xfId="21" applyNumberFormat="1" applyFont="1" applyAlignment="1" applyProtection="1">
      <alignment horizontal="center"/>
      <protection locked="0"/>
    </xf>
    <xf numFmtId="3" fontId="2" fillId="0" borderId="1" xfId="21" applyNumberFormat="1" applyFont="1" applyBorder="1" applyAlignment="1" applyProtection="1">
      <alignment horizontal="left"/>
      <protection locked="0"/>
    </xf>
    <xf numFmtId="3" fontId="0" fillId="0" borderId="2" xfId="21" applyNumberFormat="1" applyFont="1" applyBorder="1">
      <alignment/>
      <protection/>
    </xf>
    <xf numFmtId="3" fontId="0" fillId="0" borderId="3" xfId="21" applyNumberFormat="1" applyFont="1" applyBorder="1">
      <alignment/>
      <protection/>
    </xf>
    <xf numFmtId="3" fontId="0" fillId="0" borderId="0" xfId="21" applyNumberFormat="1" applyFont="1">
      <alignment/>
      <protection/>
    </xf>
    <xf numFmtId="164" fontId="5" fillId="0" borderId="0" xfId="21" applyFont="1">
      <alignment/>
      <protection/>
    </xf>
    <xf numFmtId="3" fontId="0" fillId="0" borderId="0" xfId="21" applyNumberFormat="1" applyFont="1" applyBorder="1" applyAlignment="1">
      <alignment horizontal="left"/>
      <protection/>
    </xf>
    <xf numFmtId="164" fontId="0" fillId="0" borderId="0" xfId="21" applyFont="1" applyBorder="1" applyAlignment="1">
      <alignment horizontal="left"/>
      <protection/>
    </xf>
    <xf numFmtId="164" fontId="0" fillId="0" borderId="4" xfId="21" applyFont="1" applyBorder="1" applyAlignment="1">
      <alignment horizontal="left"/>
      <protection/>
    </xf>
    <xf numFmtId="3" fontId="1" fillId="0" borderId="5" xfId="21" applyNumberFormat="1" applyFont="1" applyFill="1" applyBorder="1" applyAlignment="1">
      <alignment horizontal="left"/>
      <protection/>
    </xf>
    <xf numFmtId="164" fontId="0" fillId="0" borderId="6" xfId="21" applyFont="1" applyBorder="1">
      <alignment/>
      <protection/>
    </xf>
    <xf numFmtId="3" fontId="0" fillId="0" borderId="6" xfId="21" applyNumberFormat="1" applyFont="1" applyBorder="1">
      <alignment/>
      <protection/>
    </xf>
    <xf numFmtId="3" fontId="0" fillId="0" borderId="7" xfId="21" applyNumberFormat="1" applyFont="1" applyBorder="1">
      <alignment/>
      <protection/>
    </xf>
    <xf numFmtId="3" fontId="1" fillId="0" borderId="8" xfId="21" applyNumberFormat="1" applyFont="1" applyFill="1" applyBorder="1" applyAlignment="1">
      <alignment horizontal="left"/>
      <protection/>
    </xf>
    <xf numFmtId="164" fontId="0" fillId="0" borderId="0" xfId="21" applyFont="1" applyBorder="1">
      <alignment/>
      <protection/>
    </xf>
    <xf numFmtId="3" fontId="0" fillId="0" borderId="0" xfId="21" applyNumberFormat="1" applyFont="1" applyBorder="1">
      <alignment/>
      <protection/>
    </xf>
    <xf numFmtId="3" fontId="0" fillId="0" borderId="9" xfId="21" applyNumberFormat="1" applyFont="1" applyBorder="1">
      <alignment/>
      <protection/>
    </xf>
    <xf numFmtId="3" fontId="0" fillId="0" borderId="4" xfId="21" applyNumberFormat="1" applyFont="1" applyBorder="1">
      <alignment/>
      <protection/>
    </xf>
    <xf numFmtId="3" fontId="0" fillId="0" borderId="10" xfId="21" applyNumberFormat="1" applyFont="1" applyBorder="1">
      <alignment/>
      <protection/>
    </xf>
    <xf numFmtId="164" fontId="5" fillId="0" borderId="5" xfId="21" applyFont="1" applyBorder="1">
      <alignment/>
      <protection/>
    </xf>
    <xf numFmtId="164" fontId="0" fillId="0" borderId="8" xfId="21" applyFont="1" applyBorder="1">
      <alignment/>
      <protection/>
    </xf>
    <xf numFmtId="164" fontId="1" fillId="0" borderId="1" xfId="21" applyFont="1" applyBorder="1">
      <alignment/>
      <protection/>
    </xf>
    <xf numFmtId="164" fontId="0" fillId="0" borderId="2" xfId="21" applyFont="1" applyBorder="1">
      <alignment/>
      <protection/>
    </xf>
    <xf numFmtId="164" fontId="1" fillId="0" borderId="0" xfId="21" applyFont="1" applyBorder="1">
      <alignment/>
      <protection/>
    </xf>
    <xf numFmtId="164" fontId="6" fillId="0" borderId="0" xfId="21" applyFont="1" applyBorder="1" applyAlignment="1">
      <alignment horizontal="left" wrapText="1"/>
      <protection/>
    </xf>
    <xf numFmtId="164" fontId="7" fillId="0" borderId="0" xfId="21" applyFont="1" applyBorder="1" applyAlignment="1">
      <alignment horizontal="left" wrapText="1"/>
      <protection/>
    </xf>
    <xf numFmtId="3" fontId="0" fillId="0" borderId="3" xfId="21" applyNumberFormat="1" applyFont="1" applyBorder="1" applyAlignment="1">
      <alignment/>
      <protection/>
    </xf>
    <xf numFmtId="4" fontId="0" fillId="0" borderId="0" xfId="21" applyNumberFormat="1" applyFont="1" applyFill="1" applyBorder="1">
      <alignment/>
      <protection/>
    </xf>
    <xf numFmtId="4" fontId="0" fillId="0" borderId="0" xfId="21" applyNumberFormat="1" applyFont="1" applyBorder="1">
      <alignment/>
      <protection/>
    </xf>
    <xf numFmtId="4" fontId="0" fillId="0" borderId="9" xfId="21" applyNumberFormat="1" applyFont="1" applyBorder="1">
      <alignment/>
      <protection/>
    </xf>
    <xf numFmtId="164" fontId="0" fillId="0" borderId="11" xfId="21" applyFont="1" applyBorder="1">
      <alignment/>
      <protection/>
    </xf>
    <xf numFmtId="164" fontId="0" fillId="0" borderId="4" xfId="21" applyFont="1" applyBorder="1">
      <alignment/>
      <protection/>
    </xf>
    <xf numFmtId="4" fontId="0" fillId="0" borderId="4" xfId="21" applyNumberFormat="1" applyFont="1" applyBorder="1">
      <alignment/>
      <protection/>
    </xf>
    <xf numFmtId="4" fontId="0" fillId="0" borderId="10" xfId="21" applyNumberFormat="1" applyFont="1" applyBorder="1">
      <alignment/>
      <protection/>
    </xf>
    <xf numFmtId="3" fontId="0" fillId="0" borderId="0" xfId="21" applyNumberFormat="1" applyFont="1" applyAlignment="1">
      <alignment/>
      <protection/>
    </xf>
    <xf numFmtId="3" fontId="0" fillId="0" borderId="2" xfId="21" applyNumberFormat="1" applyFont="1" applyBorder="1" applyAlignment="1">
      <alignment/>
      <protection/>
    </xf>
    <xf numFmtId="3" fontId="0" fillId="0" borderId="0" xfId="21" applyNumberFormat="1" applyFont="1" applyAlignment="1">
      <alignment horizontal="center"/>
      <protection/>
    </xf>
    <xf numFmtId="4" fontId="0" fillId="0" borderId="0" xfId="21" applyNumberFormat="1" applyFont="1">
      <alignment/>
      <protection/>
    </xf>
    <xf numFmtId="4" fontId="0" fillId="0" borderId="0" xfId="21" applyNumberFormat="1" applyFont="1" applyFill="1">
      <alignment/>
      <protection/>
    </xf>
    <xf numFmtId="164" fontId="1" fillId="0" borderId="2" xfId="21" applyFont="1" applyBorder="1">
      <alignment/>
      <protection/>
    </xf>
    <xf numFmtId="164" fontId="5" fillId="0" borderId="0" xfId="21" applyFont="1" applyAlignment="1">
      <alignment wrapText="1"/>
      <protection/>
    </xf>
    <xf numFmtId="164" fontId="4" fillId="0" borderId="0" xfId="21" applyAlignment="1">
      <alignment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2" xfId="21" applyFont="1" applyBorder="1" applyAlignment="1">
      <alignment horizontal="center" vertical="center" wrapText="1"/>
      <protection/>
    </xf>
    <xf numFmtId="164" fontId="3" fillId="0" borderId="3" xfId="21" applyFont="1" applyBorder="1" applyAlignment="1">
      <alignment horizontal="center" vertical="center" wrapText="1"/>
      <protection/>
    </xf>
    <xf numFmtId="3" fontId="0" fillId="0" borderId="11" xfId="21" applyNumberFormat="1" applyFont="1" applyFill="1" applyBorder="1" applyAlignment="1">
      <alignment horizontal="left" wrapText="1"/>
      <protection/>
    </xf>
    <xf numFmtId="164" fontId="4" fillId="0" borderId="4" xfId="21" applyBorder="1" applyAlignment="1">
      <alignment wrapText="1"/>
      <protection/>
    </xf>
    <xf numFmtId="164" fontId="6" fillId="0" borderId="1" xfId="21" applyFont="1" applyBorder="1" applyAlignment="1">
      <alignment horizontal="left" wrapText="1"/>
      <protection/>
    </xf>
    <xf numFmtId="164" fontId="7" fillId="0" borderId="2" xfId="21" applyFont="1" applyBorder="1" applyAlignment="1">
      <alignment horizontal="left" wrapText="1"/>
      <protection/>
    </xf>
    <xf numFmtId="164" fontId="1" fillId="0" borderId="1" xfId="21" applyFont="1" applyBorder="1" applyAlignment="1">
      <alignment wrapText="1"/>
      <protection/>
    </xf>
    <xf numFmtId="164" fontId="4" fillId="0" borderId="2" xfId="21" applyBorder="1" applyAlignment="1">
      <alignment wrapText="1"/>
      <protection/>
    </xf>
    <xf numFmtId="4" fontId="0" fillId="2" borderId="0" xfId="21" applyNumberFormat="1" applyFont="1" applyFill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FUNDEST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="75" zoomScaleNormal="75" workbookViewId="0" topLeftCell="A37">
      <selection activeCell="Q70" sqref="Q70"/>
    </sheetView>
  </sheetViews>
  <sheetFormatPr defaultColWidth="9.140625" defaultRowHeight="12.75"/>
  <cols>
    <col min="1" max="2" width="8.28125" style="1" customWidth="1"/>
    <col min="3" max="3" width="14.421875" style="1" customWidth="1"/>
    <col min="4" max="11" width="10.140625" style="15" customWidth="1"/>
    <col min="12" max="16384" width="6.7109375" style="1" customWidth="1"/>
  </cols>
  <sheetData>
    <row r="1" spans="1:11" ht="35.25" customHeight="1">
      <c r="A1" s="53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3" spans="2:11" ht="25.5">
      <c r="B3" s="2"/>
      <c r="C3" s="3"/>
      <c r="D3" s="4" t="s">
        <v>39</v>
      </c>
      <c r="E3" s="5" t="s">
        <v>1</v>
      </c>
      <c r="F3" s="5" t="s">
        <v>2</v>
      </c>
      <c r="G3" s="5" t="s">
        <v>3</v>
      </c>
      <c r="H3" s="5" t="s">
        <v>4</v>
      </c>
      <c r="I3" s="5" t="s">
        <v>5</v>
      </c>
      <c r="J3" s="5" t="s">
        <v>40</v>
      </c>
      <c r="K3" s="6" t="s">
        <v>6</v>
      </c>
    </row>
    <row r="4" spans="2:11" ht="12.75">
      <c r="B4" s="2"/>
      <c r="C4" s="7"/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</row>
    <row r="5" spans="2:11" ht="12.75">
      <c r="B5" s="2"/>
      <c r="C5" s="7"/>
      <c r="D5" s="9"/>
      <c r="E5" s="10"/>
      <c r="F5" s="10"/>
      <c r="G5" s="10"/>
      <c r="H5" s="10"/>
      <c r="I5" s="10"/>
      <c r="J5" s="10"/>
      <c r="K5" s="11"/>
    </row>
    <row r="6" spans="1:11" s="15" customFormat="1" ht="12.75">
      <c r="A6" s="12" t="s">
        <v>7</v>
      </c>
      <c r="B6" s="13"/>
      <c r="C6" s="13"/>
      <c r="D6" s="13">
        <f>255746+60740+64626</f>
        <v>381112</v>
      </c>
      <c r="E6" s="13">
        <v>67546</v>
      </c>
      <c r="F6" s="13">
        <v>69909</v>
      </c>
      <c r="G6" s="13">
        <v>72112</v>
      </c>
      <c r="H6" s="13">
        <f>76690+1565</f>
        <v>78255</v>
      </c>
      <c r="I6" s="13">
        <v>81344</v>
      </c>
      <c r="J6" s="13">
        <f>82659+1688</f>
        <v>84347</v>
      </c>
      <c r="K6" s="14">
        <f>SUM(D6:J6)</f>
        <v>834625</v>
      </c>
    </row>
    <row r="8" ht="12.75">
      <c r="A8" s="16" t="s">
        <v>8</v>
      </c>
    </row>
    <row r="9" spans="2:11" ht="12.75">
      <c r="B9" s="17" t="s">
        <v>9</v>
      </c>
      <c r="C9" s="15"/>
      <c r="D9" s="15">
        <f>98-983</f>
        <v>-885</v>
      </c>
      <c r="K9" s="15">
        <f aca="true" t="shared" si="0" ref="K9:K16">SUM(D9:J9)</f>
        <v>-885</v>
      </c>
    </row>
    <row r="10" spans="2:11" ht="12.75">
      <c r="B10" s="17" t="s">
        <v>10</v>
      </c>
      <c r="C10" s="15"/>
      <c r="D10" s="15">
        <f>-705-505</f>
        <v>-1210</v>
      </c>
      <c r="K10" s="15">
        <f t="shared" si="0"/>
        <v>-1210</v>
      </c>
    </row>
    <row r="11" spans="2:11" ht="12.75">
      <c r="B11" s="18" t="s">
        <v>11</v>
      </c>
      <c r="C11" s="15"/>
      <c r="D11" s="15">
        <f>-357-425-722</f>
        <v>-1504</v>
      </c>
      <c r="K11" s="15">
        <f t="shared" si="0"/>
        <v>-1504</v>
      </c>
    </row>
    <row r="12" spans="2:11" ht="12.75">
      <c r="B12" s="18" t="s">
        <v>12</v>
      </c>
      <c r="C12" s="15"/>
      <c r="D12" s="15">
        <f>-265-155-377</f>
        <v>-797</v>
      </c>
      <c r="E12" s="15">
        <v>-245</v>
      </c>
      <c r="K12" s="15">
        <f t="shared" si="0"/>
        <v>-1042</v>
      </c>
    </row>
    <row r="13" spans="2:11" ht="12.75">
      <c r="B13" s="18" t="s">
        <v>13</v>
      </c>
      <c r="C13" s="15"/>
      <c r="D13" s="15">
        <f>157-175-45-95</f>
        <v>-158</v>
      </c>
      <c r="E13" s="15">
        <v>-533</v>
      </c>
      <c r="F13" s="15">
        <v>199</v>
      </c>
      <c r="K13" s="15">
        <f t="shared" si="0"/>
        <v>-492</v>
      </c>
    </row>
    <row r="14" spans="2:11" ht="12.75">
      <c r="B14" s="18" t="s">
        <v>14</v>
      </c>
      <c r="C14" s="15"/>
      <c r="D14" s="15">
        <f>-32-26-52</f>
        <v>-110</v>
      </c>
      <c r="E14" s="15">
        <f>66681-66768</f>
        <v>-87</v>
      </c>
      <c r="F14" s="15">
        <f>69928-70108</f>
        <v>-180</v>
      </c>
      <c r="G14" s="15">
        <f>73070-72112</f>
        <v>958</v>
      </c>
      <c r="K14" s="15">
        <f t="shared" si="0"/>
        <v>581</v>
      </c>
    </row>
    <row r="15" spans="2:11" ht="12.75">
      <c r="B15" s="18" t="s">
        <v>15</v>
      </c>
      <c r="C15" s="15"/>
      <c r="D15" s="15">
        <f>-21-20-13</f>
        <v>-54</v>
      </c>
      <c r="E15" s="15">
        <f>-66681+66654</f>
        <v>-27</v>
      </c>
      <c r="F15" s="15">
        <f>-69928+69903</f>
        <v>-25</v>
      </c>
      <c r="G15" s="15">
        <f>-73070+73011</f>
        <v>-59</v>
      </c>
      <c r="H15" s="15">
        <f>-78255+79704</f>
        <v>1449</v>
      </c>
      <c r="K15" s="15">
        <f t="shared" si="0"/>
        <v>1284</v>
      </c>
    </row>
    <row r="16" spans="2:11" ht="12.75">
      <c r="B16" s="18" t="s">
        <v>41</v>
      </c>
      <c r="C16" s="15"/>
      <c r="D16" s="15">
        <f>197022+56628-253463-8-3</f>
        <v>176</v>
      </c>
      <c r="E16" s="15">
        <f>66558-66654</f>
        <v>-96</v>
      </c>
      <c r="F16" s="15">
        <f>69875-69903</f>
        <v>-28</v>
      </c>
      <c r="G16" s="15">
        <f>72971-73011</f>
        <v>-40</v>
      </c>
      <c r="H16" s="15">
        <f>79652-79704</f>
        <v>-52</v>
      </c>
      <c r="I16" s="15">
        <f>83373-81344</f>
        <v>2029</v>
      </c>
      <c r="K16" s="15">
        <f t="shared" si="0"/>
        <v>1989</v>
      </c>
    </row>
    <row r="17" spans="2:11" ht="12.75">
      <c r="B17" s="18" t="s">
        <v>42</v>
      </c>
      <c r="C17" s="15"/>
      <c r="D17" s="15">
        <f>-376570+376509</f>
        <v>-61</v>
      </c>
      <c r="E17" s="15">
        <f>-66558+66539</f>
        <v>-19</v>
      </c>
      <c r="F17" s="15">
        <f>-69875+69850</f>
        <v>-25</v>
      </c>
      <c r="G17" s="15">
        <f>-72971+72937</f>
        <v>-34</v>
      </c>
      <c r="H17" s="15">
        <f>-79652+79624</f>
        <v>-28</v>
      </c>
      <c r="I17" s="15">
        <f>-83373+83248</f>
        <v>-125</v>
      </c>
      <c r="J17" s="15">
        <v>2535</v>
      </c>
      <c r="K17" s="15">
        <f>SUM(D17:J17)</f>
        <v>2243</v>
      </c>
    </row>
    <row r="18" spans="1:11" ht="12.75" customHeight="1">
      <c r="A18" s="20" t="s">
        <v>16</v>
      </c>
      <c r="B18" s="21"/>
      <c r="C18" s="22"/>
      <c r="D18" s="22">
        <f>SUM(D6:D17)</f>
        <v>376509</v>
      </c>
      <c r="E18" s="22">
        <f aca="true" t="shared" si="1" ref="E18:J18">SUM(E6:E17)</f>
        <v>66539</v>
      </c>
      <c r="F18" s="22">
        <f t="shared" si="1"/>
        <v>69850</v>
      </c>
      <c r="G18" s="22">
        <f t="shared" si="1"/>
        <v>72937</v>
      </c>
      <c r="H18" s="22">
        <f t="shared" si="1"/>
        <v>79624</v>
      </c>
      <c r="I18" s="22">
        <f t="shared" si="1"/>
        <v>83248</v>
      </c>
      <c r="J18" s="22">
        <f t="shared" si="1"/>
        <v>86882</v>
      </c>
      <c r="K18" s="23">
        <f>SUM(K6:K17)</f>
        <v>835589</v>
      </c>
    </row>
    <row r="19" spans="1:11" ht="12.75" customHeight="1">
      <c r="A19" s="24"/>
      <c r="B19" s="25"/>
      <c r="C19" s="26"/>
      <c r="D19" s="26"/>
      <c r="E19" s="26"/>
      <c r="F19" s="26"/>
      <c r="G19" s="26"/>
      <c r="H19" s="26"/>
      <c r="I19" s="26"/>
      <c r="J19" s="26"/>
      <c r="K19" s="27"/>
    </row>
    <row r="20" spans="1:11" ht="12.75">
      <c r="A20" s="56" t="s">
        <v>17</v>
      </c>
      <c r="B20" s="57"/>
      <c r="C20" s="57"/>
      <c r="D20" s="28">
        <f aca="true" t="shared" si="2" ref="D20:K20">D18-D6</f>
        <v>-4603</v>
      </c>
      <c r="E20" s="28">
        <f t="shared" si="2"/>
        <v>-1007</v>
      </c>
      <c r="F20" s="28">
        <f t="shared" si="2"/>
        <v>-59</v>
      </c>
      <c r="G20" s="28">
        <f t="shared" si="2"/>
        <v>825</v>
      </c>
      <c r="H20" s="28">
        <f t="shared" si="2"/>
        <v>1369</v>
      </c>
      <c r="I20" s="28">
        <f t="shared" si="2"/>
        <v>1904</v>
      </c>
      <c r="J20" s="28">
        <f t="shared" si="2"/>
        <v>2535</v>
      </c>
      <c r="K20" s="29">
        <f t="shared" si="2"/>
        <v>964</v>
      </c>
    </row>
    <row r="22" spans="1:11" ht="12.75">
      <c r="A22" s="30" t="s">
        <v>18</v>
      </c>
      <c r="B22" s="21"/>
      <c r="C22" s="21"/>
      <c r="D22" s="22"/>
      <c r="E22" s="22"/>
      <c r="F22" s="22"/>
      <c r="G22" s="22"/>
      <c r="H22" s="22"/>
      <c r="I22" s="22"/>
      <c r="J22" s="22"/>
      <c r="K22" s="23"/>
    </row>
    <row r="23" spans="1:11" ht="12.75">
      <c r="A23" s="31"/>
      <c r="B23" s="17" t="s">
        <v>9</v>
      </c>
      <c r="C23" s="25"/>
      <c r="D23" s="15">
        <f>188515+54800-175</f>
        <v>243140</v>
      </c>
      <c r="E23" s="26"/>
      <c r="F23" s="26"/>
      <c r="G23" s="26"/>
      <c r="H23" s="26"/>
      <c r="I23" s="26"/>
      <c r="J23" s="26"/>
      <c r="K23" s="27">
        <f aca="true" t="shared" si="3" ref="K23:K31">SUM(D23:J23)</f>
        <v>243140</v>
      </c>
    </row>
    <row r="24" spans="1:11" ht="12.75">
      <c r="A24" s="31"/>
      <c r="B24" s="17" t="s">
        <v>10</v>
      </c>
      <c r="C24" s="25"/>
      <c r="D24" s="15">
        <f>1940+55605</f>
        <v>57545</v>
      </c>
      <c r="E24" s="26"/>
      <c r="F24" s="26"/>
      <c r="G24" s="26"/>
      <c r="H24" s="26"/>
      <c r="I24" s="26"/>
      <c r="J24" s="26"/>
      <c r="K24" s="27">
        <f t="shared" si="3"/>
        <v>57545</v>
      </c>
    </row>
    <row r="25" spans="1:11" ht="12.75">
      <c r="A25" s="31"/>
      <c r="B25" s="18" t="s">
        <v>11</v>
      </c>
      <c r="C25" s="25"/>
      <c r="D25" s="15">
        <f>982+1454+59751</f>
        <v>62187</v>
      </c>
      <c r="E25" s="26"/>
      <c r="F25" s="26"/>
      <c r="G25" s="26"/>
      <c r="H25" s="26"/>
      <c r="I25" s="26"/>
      <c r="J25" s="26"/>
      <c r="K25" s="27">
        <f t="shared" si="3"/>
        <v>62187</v>
      </c>
    </row>
    <row r="26" spans="1:11" ht="12.75">
      <c r="A26" s="31"/>
      <c r="B26" s="18" t="s">
        <v>12</v>
      </c>
      <c r="C26" s="25"/>
      <c r="D26" s="15">
        <f>486+286+1068</f>
        <v>1840</v>
      </c>
      <c r="E26" s="26">
        <v>61854</v>
      </c>
      <c r="F26" s="26"/>
      <c r="G26" s="26"/>
      <c r="H26" s="26"/>
      <c r="I26" s="26"/>
      <c r="J26" s="26"/>
      <c r="K26" s="27">
        <f t="shared" si="3"/>
        <v>63694</v>
      </c>
    </row>
    <row r="27" spans="1:11" ht="12.75">
      <c r="A27" s="31"/>
      <c r="B27" s="18" t="s">
        <v>19</v>
      </c>
      <c r="C27" s="25"/>
      <c r="D27" s="15">
        <f>268+170+302</f>
        <v>740</v>
      </c>
      <c r="E27" s="26">
        <f>-61854+63481</f>
        <v>1627</v>
      </c>
      <c r="F27" s="26">
        <v>64704</v>
      </c>
      <c r="G27" s="26"/>
      <c r="H27" s="26"/>
      <c r="I27" s="26"/>
      <c r="J27" s="26"/>
      <c r="K27" s="27">
        <f t="shared" si="3"/>
        <v>67071</v>
      </c>
    </row>
    <row r="28" spans="1:11" ht="12.75">
      <c r="A28" s="31"/>
      <c r="B28" s="18" t="s">
        <v>20</v>
      </c>
      <c r="C28" s="25"/>
      <c r="D28" s="15">
        <f>195+109+156</f>
        <v>460</v>
      </c>
      <c r="E28" s="26">
        <f>63919-63481</f>
        <v>438</v>
      </c>
      <c r="F28" s="26">
        <f>66602-64704</f>
        <v>1898</v>
      </c>
      <c r="G28" s="26">
        <v>67793</v>
      </c>
      <c r="H28" s="26"/>
      <c r="I28" s="26"/>
      <c r="J28" s="26"/>
      <c r="K28" s="27">
        <f t="shared" si="3"/>
        <v>70589</v>
      </c>
    </row>
    <row r="29" spans="1:11" ht="12.75">
      <c r="A29" s="31"/>
      <c r="B29" s="18" t="s">
        <v>21</v>
      </c>
      <c r="C29" s="25"/>
      <c r="D29" s="15">
        <f>55+117+188</f>
        <v>360</v>
      </c>
      <c r="E29" s="26">
        <f>-63919+64304</f>
        <v>385</v>
      </c>
      <c r="F29" s="26">
        <f>-66602+67226</f>
        <v>624</v>
      </c>
      <c r="G29" s="26">
        <f>-67793+69618</f>
        <v>1825</v>
      </c>
      <c r="H29" s="26">
        <v>74322</v>
      </c>
      <c r="I29" s="26"/>
      <c r="J29" s="26"/>
      <c r="K29" s="27">
        <f t="shared" si="3"/>
        <v>77516</v>
      </c>
    </row>
    <row r="30" spans="1:11" ht="12.75">
      <c r="A30" s="31"/>
      <c r="B30" s="18" t="s">
        <v>41</v>
      </c>
      <c r="C30" s="25"/>
      <c r="D30" s="15">
        <f>247386-247066+103+129</f>
        <v>552</v>
      </c>
      <c r="E30" s="26">
        <f>64546-64304</f>
        <v>242</v>
      </c>
      <c r="F30" s="26">
        <f>67568-67226</f>
        <v>342</v>
      </c>
      <c r="G30" s="26">
        <f>70275-69618</f>
        <v>657</v>
      </c>
      <c r="H30" s="26">
        <f>76294-74322</f>
        <v>1972</v>
      </c>
      <c r="I30" s="26">
        <v>77340</v>
      </c>
      <c r="J30" s="26"/>
      <c r="K30" s="27">
        <f>SUM(D30:J30)</f>
        <v>81105</v>
      </c>
    </row>
    <row r="31" spans="1:11" ht="12.75">
      <c r="A31" s="31"/>
      <c r="B31" s="18" t="s">
        <v>43</v>
      </c>
      <c r="C31" s="25"/>
      <c r="D31" s="15">
        <f>-366824+366791</f>
        <v>-33</v>
      </c>
      <c r="E31" s="26">
        <f>-64546+64641</f>
        <v>95</v>
      </c>
      <c r="F31" s="26">
        <f>-67568+67690</f>
        <v>122</v>
      </c>
      <c r="G31" s="26">
        <f>-70275+70463</f>
        <v>188</v>
      </c>
      <c r="H31" s="26">
        <f>-76294+76632</f>
        <v>338</v>
      </c>
      <c r="I31" s="26">
        <f>-77340+78378</f>
        <v>1038</v>
      </c>
      <c r="J31" s="26">
        <v>63697</v>
      </c>
      <c r="K31" s="27">
        <f t="shared" si="3"/>
        <v>65445</v>
      </c>
    </row>
    <row r="32" spans="1:11" ht="12.75">
      <c r="A32" s="32" t="s">
        <v>22</v>
      </c>
      <c r="B32" s="33"/>
      <c r="C32" s="33"/>
      <c r="D32" s="13">
        <f aca="true" t="shared" si="4" ref="D32:K32">SUM(D23:D31)</f>
        <v>366791</v>
      </c>
      <c r="E32" s="13">
        <f t="shared" si="4"/>
        <v>64641</v>
      </c>
      <c r="F32" s="13">
        <f t="shared" si="4"/>
        <v>67690</v>
      </c>
      <c r="G32" s="13">
        <f t="shared" si="4"/>
        <v>70463</v>
      </c>
      <c r="H32" s="13">
        <f t="shared" si="4"/>
        <v>76632</v>
      </c>
      <c r="I32" s="13">
        <f t="shared" si="4"/>
        <v>78378</v>
      </c>
      <c r="J32" s="13">
        <f t="shared" si="4"/>
        <v>63697</v>
      </c>
      <c r="K32" s="14">
        <f t="shared" si="4"/>
        <v>788292</v>
      </c>
    </row>
    <row r="33" spans="1:11" ht="12.75">
      <c r="A33" s="34"/>
      <c r="B33" s="25"/>
      <c r="C33" s="25"/>
      <c r="D33" s="26"/>
      <c r="E33" s="26"/>
      <c r="F33" s="26"/>
      <c r="G33" s="26"/>
      <c r="H33" s="26"/>
      <c r="I33" s="26"/>
      <c r="J33" s="26"/>
      <c r="K33" s="26"/>
    </row>
    <row r="34" spans="1:11" ht="12.75">
      <c r="A34" s="30" t="s">
        <v>23</v>
      </c>
      <c r="B34" s="21"/>
      <c r="C34" s="21"/>
      <c r="D34" s="22"/>
      <c r="E34" s="22"/>
      <c r="F34" s="22"/>
      <c r="G34" s="22"/>
      <c r="H34" s="22"/>
      <c r="I34" s="22"/>
      <c r="J34" s="22"/>
      <c r="K34" s="23"/>
    </row>
    <row r="35" spans="1:11" ht="12.75">
      <c r="A35" s="31"/>
      <c r="B35" s="17" t="s">
        <v>9</v>
      </c>
      <c r="C35" s="25"/>
      <c r="D35" s="15">
        <f>D$6+D$9-D$23</f>
        <v>137087</v>
      </c>
      <c r="K35" s="27">
        <f aca="true" t="shared" si="5" ref="K35:K43">SUM(D35:J35)</f>
        <v>137087</v>
      </c>
    </row>
    <row r="36" spans="1:11" ht="12.75">
      <c r="A36" s="31"/>
      <c r="B36" s="17" t="s">
        <v>10</v>
      </c>
      <c r="C36" s="25"/>
      <c r="D36" s="15">
        <f>SUM(D$9:D$10)+D$6-SUM(D$23:D$24)</f>
        <v>78332</v>
      </c>
      <c r="K36" s="27">
        <f t="shared" si="5"/>
        <v>78332</v>
      </c>
    </row>
    <row r="37" spans="1:11" ht="12.75">
      <c r="A37" s="31"/>
      <c r="B37" s="18" t="s">
        <v>11</v>
      </c>
      <c r="C37" s="25"/>
      <c r="D37" s="15">
        <f>SUM(D$9:D$11)+D$6-SUM(D$23:D$25)</f>
        <v>14641</v>
      </c>
      <c r="K37" s="27">
        <f t="shared" si="5"/>
        <v>14641</v>
      </c>
    </row>
    <row r="38" spans="1:11" ht="12.75">
      <c r="A38" s="31"/>
      <c r="B38" s="18" t="s">
        <v>12</v>
      </c>
      <c r="C38" s="25"/>
      <c r="D38" s="15">
        <f>SUM(D$9:D$12)+D$6-SUM(D$23:D$26)</f>
        <v>12004</v>
      </c>
      <c r="E38" s="15">
        <f>SUM(E$9:E$12)+E$6-SUM(E$23:E$26)</f>
        <v>5447</v>
      </c>
      <c r="K38" s="27">
        <f t="shared" si="5"/>
        <v>17451</v>
      </c>
    </row>
    <row r="39" spans="1:11" ht="12.75" customHeight="1">
      <c r="A39" s="31"/>
      <c r="B39" s="18" t="s">
        <v>19</v>
      </c>
      <c r="C39" s="25"/>
      <c r="D39" s="15">
        <f>SUM(D$9:D$13)+D$6-SUM(D$23:D$27)</f>
        <v>11106</v>
      </c>
      <c r="E39" s="15">
        <f>SUM(E$9:E$13)+E$6-SUM(E$23:E$27)</f>
        <v>3287</v>
      </c>
      <c r="F39" s="15">
        <f>SUM(F$9:F$13)+F$6-SUM(F$23:F$27)</f>
        <v>5404</v>
      </c>
      <c r="K39" s="27">
        <f t="shared" si="5"/>
        <v>19797</v>
      </c>
    </row>
    <row r="40" spans="1:11" ht="12.75">
      <c r="A40" s="31"/>
      <c r="B40" s="18" t="s">
        <v>20</v>
      </c>
      <c r="C40" s="25"/>
      <c r="D40" s="15">
        <f>SUM(D$9:D$14)+D$6-SUM(D$23:D$28)</f>
        <v>10536</v>
      </c>
      <c r="E40" s="15">
        <f>SUM(E$9:E$14)+E$6-SUM(E$23:E$28)</f>
        <v>2762</v>
      </c>
      <c r="F40" s="15">
        <f>SUM(F$9:F$14)+F$6-SUM(F$23:F$28)</f>
        <v>3326</v>
      </c>
      <c r="G40" s="15">
        <f>SUM(G$9:G$14)+G$6-SUM(G$23:G$28)</f>
        <v>5277</v>
      </c>
      <c r="K40" s="27">
        <f t="shared" si="5"/>
        <v>21901</v>
      </c>
    </row>
    <row r="41" spans="1:11" ht="12.75" customHeight="1">
      <c r="A41" s="31"/>
      <c r="B41" s="18" t="s">
        <v>21</v>
      </c>
      <c r="C41" s="25"/>
      <c r="D41" s="15">
        <f>SUM(D$9:D$15)+D$6-SUM(D$23:D$29)</f>
        <v>10122</v>
      </c>
      <c r="E41" s="15">
        <f>SUM(E$9:E$15)+E$6-SUM(E$23:E$29)</f>
        <v>2350</v>
      </c>
      <c r="F41" s="15">
        <f>SUM(F$9:F$15)+F$6-SUM(F$23:F$29)</f>
        <v>2677</v>
      </c>
      <c r="G41" s="15">
        <f>SUM(G$9:G$15)+G$6-SUM(G$23:G$29)</f>
        <v>3393</v>
      </c>
      <c r="H41" s="15">
        <f>SUM(H$9:H$15)+H$6-SUM(H$23:H$29)</f>
        <v>5382</v>
      </c>
      <c r="K41" s="27">
        <f t="shared" si="5"/>
        <v>23924</v>
      </c>
    </row>
    <row r="42" spans="1:11" ht="12.75" customHeight="1">
      <c r="A42" s="31"/>
      <c r="B42" s="18" t="s">
        <v>41</v>
      </c>
      <c r="C42" s="25"/>
      <c r="D42" s="15">
        <f aca="true" t="shared" si="6" ref="D42:I42">SUM(D$9:D$16)+D$6-SUM(D$23:D$30)</f>
        <v>9746</v>
      </c>
      <c r="E42" s="15">
        <f t="shared" si="6"/>
        <v>2012</v>
      </c>
      <c r="F42" s="15">
        <f t="shared" si="6"/>
        <v>2307</v>
      </c>
      <c r="G42" s="15">
        <f t="shared" si="6"/>
        <v>2696</v>
      </c>
      <c r="H42" s="15">
        <f t="shared" si="6"/>
        <v>3358</v>
      </c>
      <c r="I42" s="15">
        <f t="shared" si="6"/>
        <v>6033</v>
      </c>
      <c r="K42" s="27">
        <f>SUM(D42:J42)</f>
        <v>26152</v>
      </c>
    </row>
    <row r="43" spans="1:11" ht="12.75">
      <c r="A43" s="31"/>
      <c r="B43" s="18" t="s">
        <v>43</v>
      </c>
      <c r="C43" s="25"/>
      <c r="D43" s="15">
        <f aca="true" t="shared" si="7" ref="D43:J43">SUM(D$9:D$17)+D$6-SUM(D$23:D$31)</f>
        <v>9718</v>
      </c>
      <c r="E43" s="15">
        <f t="shared" si="7"/>
        <v>1898</v>
      </c>
      <c r="F43" s="15">
        <f t="shared" si="7"/>
        <v>2160</v>
      </c>
      <c r="G43" s="15">
        <f t="shared" si="7"/>
        <v>2474</v>
      </c>
      <c r="H43" s="15">
        <f t="shared" si="7"/>
        <v>2992</v>
      </c>
      <c r="I43" s="15">
        <f t="shared" si="7"/>
        <v>4870</v>
      </c>
      <c r="J43" s="15">
        <f t="shared" si="7"/>
        <v>23185</v>
      </c>
      <c r="K43" s="27">
        <f t="shared" si="5"/>
        <v>47297</v>
      </c>
    </row>
    <row r="44" spans="1:11" ht="12.75">
      <c r="A44" s="58" t="s">
        <v>24</v>
      </c>
      <c r="B44" s="59"/>
      <c r="C44" s="59"/>
      <c r="D44" s="13">
        <f aca="true" t="shared" si="8" ref="D44:K44">D43</f>
        <v>9718</v>
      </c>
      <c r="E44" s="13">
        <f t="shared" si="8"/>
        <v>1898</v>
      </c>
      <c r="F44" s="13">
        <f t="shared" si="8"/>
        <v>2160</v>
      </c>
      <c r="G44" s="13">
        <f t="shared" si="8"/>
        <v>2474</v>
      </c>
      <c r="H44" s="13">
        <f t="shared" si="8"/>
        <v>2992</v>
      </c>
      <c r="I44" s="13">
        <f t="shared" si="8"/>
        <v>4870</v>
      </c>
      <c r="J44" s="13">
        <f t="shared" si="8"/>
        <v>23185</v>
      </c>
      <c r="K44" s="14">
        <f t="shared" si="8"/>
        <v>47297</v>
      </c>
    </row>
    <row r="45" spans="1:11" ht="12.75">
      <c r="A45" s="35"/>
      <c r="B45" s="36"/>
      <c r="C45" s="36"/>
      <c r="D45" s="26"/>
      <c r="E45" s="26"/>
      <c r="F45" s="26"/>
      <c r="G45" s="26"/>
      <c r="H45" s="26"/>
      <c r="I45" s="26"/>
      <c r="J45" s="26"/>
      <c r="K45" s="26"/>
    </row>
    <row r="46" spans="1:11" ht="12.75">
      <c r="A46" s="32" t="s">
        <v>25</v>
      </c>
      <c r="B46" s="33"/>
      <c r="C46" s="33"/>
      <c r="D46" s="13">
        <f>11274-1730</f>
        <v>9544</v>
      </c>
      <c r="E46" s="13">
        <f>1286-240</f>
        <v>1046</v>
      </c>
      <c r="F46" s="13">
        <f>1358-236</f>
        <v>1122</v>
      </c>
      <c r="G46" s="13">
        <f>1203-219</f>
        <v>984</v>
      </c>
      <c r="H46" s="13">
        <f>857-198</f>
        <v>659</v>
      </c>
      <c r="I46" s="13">
        <v>-75</v>
      </c>
      <c r="J46" s="13">
        <v>0</v>
      </c>
      <c r="K46" s="37">
        <f>SUM(D46:J46)</f>
        <v>13280</v>
      </c>
    </row>
    <row r="47" spans="1:11" ht="12.75">
      <c r="A47" s="25"/>
      <c r="B47" s="18"/>
      <c r="C47" s="25"/>
      <c r="D47" s="26"/>
      <c r="E47" s="26"/>
      <c r="F47" s="26"/>
      <c r="G47" s="26"/>
      <c r="H47" s="26"/>
      <c r="I47" s="26"/>
      <c r="J47" s="26"/>
      <c r="K47" s="26"/>
    </row>
    <row r="48" spans="1:11" ht="12.75">
      <c r="A48" s="32" t="s">
        <v>26</v>
      </c>
      <c r="B48" s="33"/>
      <c r="C48" s="33"/>
      <c r="D48" s="13">
        <f aca="true" t="shared" si="9" ref="D48:J48">D44-D46</f>
        <v>174</v>
      </c>
      <c r="E48" s="13">
        <f t="shared" si="9"/>
        <v>852</v>
      </c>
      <c r="F48" s="13">
        <f t="shared" si="9"/>
        <v>1038</v>
      </c>
      <c r="G48" s="13">
        <f t="shared" si="9"/>
        <v>1490</v>
      </c>
      <c r="H48" s="13">
        <f t="shared" si="9"/>
        <v>2333</v>
      </c>
      <c r="I48" s="13">
        <f>I44-I46</f>
        <v>4945</v>
      </c>
      <c r="J48" s="13">
        <f t="shared" si="9"/>
        <v>23185</v>
      </c>
      <c r="K48" s="37">
        <f>SUM(D48:J48)</f>
        <v>34017</v>
      </c>
    </row>
    <row r="49" spans="1:11" ht="12.75">
      <c r="A49" s="50"/>
      <c r="B49" s="33"/>
      <c r="C49" s="33"/>
      <c r="D49" s="13"/>
      <c r="E49" s="13"/>
      <c r="F49" s="13"/>
      <c r="G49" s="13"/>
      <c r="H49" s="13"/>
      <c r="I49" s="13"/>
      <c r="J49" s="13"/>
      <c r="K49" s="46"/>
    </row>
    <row r="50" spans="1:11" ht="12.75">
      <c r="A50" s="30" t="s">
        <v>27</v>
      </c>
      <c r="B50" s="21"/>
      <c r="C50" s="21"/>
      <c r="D50" s="22"/>
      <c r="E50" s="22"/>
      <c r="F50" s="22"/>
      <c r="G50" s="22"/>
      <c r="H50" s="22"/>
      <c r="I50" s="22"/>
      <c r="J50" s="22"/>
      <c r="K50" s="23"/>
    </row>
    <row r="51" spans="1:11" ht="12.75">
      <c r="A51" s="31"/>
      <c r="B51" s="17" t="s">
        <v>9</v>
      </c>
      <c r="C51" s="25"/>
      <c r="D51" s="38">
        <f>(D23/$D$18)*100</f>
        <v>64.57747357964882</v>
      </c>
      <c r="E51" s="38"/>
      <c r="F51" s="38"/>
      <c r="G51" s="38"/>
      <c r="H51" s="38"/>
      <c r="I51" s="39"/>
      <c r="J51" s="39"/>
      <c r="K51" s="40"/>
    </row>
    <row r="52" spans="1:11" ht="12.75">
      <c r="A52" s="31"/>
      <c r="B52" s="17" t="s">
        <v>10</v>
      </c>
      <c r="C52" s="25"/>
      <c r="D52" s="38">
        <f aca="true" t="shared" si="10" ref="D52:D59">(D24/$D$18)*100+D51</f>
        <v>79.86130477624704</v>
      </c>
      <c r="E52" s="38"/>
      <c r="F52" s="38"/>
      <c r="G52" s="38"/>
      <c r="H52" s="38"/>
      <c r="I52" s="39"/>
      <c r="J52" s="39"/>
      <c r="K52" s="40"/>
    </row>
    <row r="53" spans="1:11" ht="12.75">
      <c r="A53" s="31"/>
      <c r="B53" s="18" t="s">
        <v>11</v>
      </c>
      <c r="C53" s="25"/>
      <c r="D53" s="38">
        <f t="shared" si="10"/>
        <v>96.37804142796054</v>
      </c>
      <c r="E53" s="38"/>
      <c r="F53" s="38"/>
      <c r="G53" s="38"/>
      <c r="H53" s="38"/>
      <c r="I53" s="39"/>
      <c r="J53" s="39"/>
      <c r="K53" s="40"/>
    </row>
    <row r="54" spans="1:11" ht="12.75">
      <c r="A54" s="31"/>
      <c r="B54" s="18" t="s">
        <v>12</v>
      </c>
      <c r="C54" s="25"/>
      <c r="D54" s="38">
        <f t="shared" si="10"/>
        <v>96.86674156527465</v>
      </c>
      <c r="E54" s="38">
        <f>(E26/$E$18)*100</f>
        <v>92.95901651662935</v>
      </c>
      <c r="F54" s="38"/>
      <c r="G54" s="38"/>
      <c r="H54" s="38"/>
      <c r="I54" s="39"/>
      <c r="J54" s="39"/>
      <c r="K54" s="40"/>
    </row>
    <row r="55" spans="1:11" ht="12.75">
      <c r="A55" s="31"/>
      <c r="B55" s="18" t="s">
        <v>19</v>
      </c>
      <c r="C55" s="25"/>
      <c r="D55" s="38">
        <f t="shared" si="10"/>
        <v>97.06328401180315</v>
      </c>
      <c r="E55" s="38">
        <f>(E27/$E$18)*100+E54</f>
        <v>95.40419904116384</v>
      </c>
      <c r="F55" s="38">
        <f>(F27/$F$18)*100</f>
        <v>92.63278453829635</v>
      </c>
      <c r="G55" s="38"/>
      <c r="H55" s="38"/>
      <c r="I55" s="39"/>
      <c r="J55" s="39"/>
      <c r="K55" s="40"/>
    </row>
    <row r="56" spans="1:11" ht="12.75">
      <c r="A56" s="31"/>
      <c r="B56" s="18" t="s">
        <v>20</v>
      </c>
      <c r="C56" s="25"/>
      <c r="D56" s="38">
        <f t="shared" si="10"/>
        <v>97.18545904613168</v>
      </c>
      <c r="E56" s="38">
        <f>(E28/$E$18)*100+E55</f>
        <v>96.06245961015345</v>
      </c>
      <c r="F56" s="38">
        <f>(F28/$F$18)*100+F55</f>
        <v>95.35003579098067</v>
      </c>
      <c r="G56" s="38">
        <f>(G28/$G$18)*100+G55</f>
        <v>92.94733811371458</v>
      </c>
      <c r="H56" s="38"/>
      <c r="I56" s="39"/>
      <c r="J56" s="39"/>
      <c r="K56" s="40"/>
    </row>
    <row r="57" spans="1:11" ht="12.75" customHeight="1">
      <c r="A57" s="31"/>
      <c r="B57" s="18" t="s">
        <v>21</v>
      </c>
      <c r="C57" s="25"/>
      <c r="D57" s="38">
        <f t="shared" si="10"/>
        <v>97.28107429038879</v>
      </c>
      <c r="E57" s="38">
        <f>(E29/$E$18)*100+E56</f>
        <v>96.6410676445393</v>
      </c>
      <c r="F57" s="38">
        <f>(F29/$F$18)*100+F56</f>
        <v>96.24337866857552</v>
      </c>
      <c r="G57" s="38">
        <f>(G29/$G$18)*100+G56</f>
        <v>95.44949751155107</v>
      </c>
      <c r="H57" s="38">
        <f>(H29/$H$18)*100+H56</f>
        <v>93.34120365718879</v>
      </c>
      <c r="I57" s="39"/>
      <c r="J57" s="39"/>
      <c r="K57" s="40"/>
    </row>
    <row r="58" spans="1:11" ht="12.75">
      <c r="A58" s="31"/>
      <c r="B58" s="18" t="s">
        <v>44</v>
      </c>
      <c r="C58" s="25"/>
      <c r="D58" s="39">
        <f t="shared" si="10"/>
        <v>97.42768433158302</v>
      </c>
      <c r="E58" s="39">
        <f>(E30/$E$18)*100+E57</f>
        <v>97.00476412329613</v>
      </c>
      <c r="F58" s="39">
        <f>(F30/$F$18)*100+F57</f>
        <v>96.73299928418038</v>
      </c>
      <c r="G58" s="39">
        <f>(G30/$G$18)*100+G57</f>
        <v>96.35027489477221</v>
      </c>
      <c r="H58" s="39">
        <f>(H30/$H$18)*100+H57</f>
        <v>95.817843866171</v>
      </c>
      <c r="I58" s="39">
        <f>(I30/$I$18)*100+I56</f>
        <v>92.90313280799539</v>
      </c>
      <c r="J58" s="39"/>
      <c r="K58" s="40"/>
    </row>
    <row r="59" spans="1:11" ht="12.75">
      <c r="A59" s="41"/>
      <c r="B59" s="19" t="s">
        <v>43</v>
      </c>
      <c r="C59" s="42"/>
      <c r="D59" s="43">
        <f t="shared" si="10"/>
        <v>97.41891960085945</v>
      </c>
      <c r="E59" s="43">
        <f>(E31/$E$18)*100+E58</f>
        <v>97.14753753437834</v>
      </c>
      <c r="F59" s="43">
        <f>(F31/$F$18)*100+F58</f>
        <v>96.90765926986398</v>
      </c>
      <c r="G59" s="43">
        <f>(G31/$G$18)*100+G58</f>
        <v>96.6080315889055</v>
      </c>
      <c r="H59" s="43">
        <f>(H31/$H$18)*100+H58</f>
        <v>96.24233899326836</v>
      </c>
      <c r="I59" s="43">
        <f>(I31/$I$18)*100+I58</f>
        <v>94.15000960984048</v>
      </c>
      <c r="J59" s="43">
        <f>(J31/$J$18)*100+J58</f>
        <v>73.31438042402338</v>
      </c>
      <c r="K59" s="44">
        <f>(K32/K18)*100</f>
        <v>94.33968135052041</v>
      </c>
    </row>
    <row r="60" spans="1:11" ht="12.75">
      <c r="A60" s="25"/>
      <c r="B60" s="18"/>
      <c r="C60" s="25"/>
      <c r="D60" s="26"/>
      <c r="E60" s="26"/>
      <c r="F60" s="26"/>
      <c r="G60" s="26"/>
      <c r="H60" s="26"/>
      <c r="I60" s="26"/>
      <c r="J60" s="26"/>
      <c r="K60" s="26"/>
    </row>
    <row r="61" spans="1:11" ht="12.75">
      <c r="A61" s="60" t="s">
        <v>28</v>
      </c>
      <c r="B61" s="61"/>
      <c r="C61" s="61"/>
      <c r="D61" s="13"/>
      <c r="E61" s="13">
        <v>29</v>
      </c>
      <c r="F61" s="13">
        <v>-1</v>
      </c>
      <c r="G61" s="13">
        <v>53</v>
      </c>
      <c r="H61" s="13"/>
      <c r="I61" s="13"/>
      <c r="J61" s="13"/>
      <c r="K61" s="37">
        <f>SUM(D61:J61)</f>
        <v>81</v>
      </c>
    </row>
    <row r="63" spans="1:11" ht="12.75">
      <c r="A63" s="7" t="s">
        <v>29</v>
      </c>
      <c r="D63" s="45">
        <f>249695+59525+63332</f>
        <v>372552</v>
      </c>
      <c r="E63" s="45">
        <v>66196</v>
      </c>
      <c r="F63" s="45">
        <v>68511</v>
      </c>
      <c r="G63" s="15">
        <v>70670</v>
      </c>
      <c r="H63" s="15">
        <v>76690</v>
      </c>
      <c r="I63" s="15">
        <v>79716</v>
      </c>
      <c r="J63" s="15">
        <v>82659</v>
      </c>
      <c r="K63" s="15">
        <f>SUM(D63:J63)</f>
        <v>816994</v>
      </c>
    </row>
    <row r="64" spans="1:11" ht="12.75">
      <c r="A64" s="1" t="s">
        <v>30</v>
      </c>
      <c r="D64" s="45">
        <v>-5200</v>
      </c>
      <c r="E64" s="45">
        <v>-1100</v>
      </c>
      <c r="F64" s="45">
        <v>-47</v>
      </c>
      <c r="G64" s="15">
        <v>400</v>
      </c>
      <c r="H64" s="15">
        <v>800</v>
      </c>
      <c r="I64" s="15">
        <v>500</v>
      </c>
      <c r="J64" s="15">
        <v>750</v>
      </c>
      <c r="K64" s="15">
        <f>SUM(D64:J64)</f>
        <v>-3897</v>
      </c>
    </row>
    <row r="65" spans="1:11" ht="12.75">
      <c r="A65" s="32" t="s">
        <v>31</v>
      </c>
      <c r="B65" s="33"/>
      <c r="C65" s="33"/>
      <c r="D65" s="46">
        <f aca="true" t="shared" si="11" ref="D65:K65">SUM(D63:D64)</f>
        <v>367352</v>
      </c>
      <c r="E65" s="46">
        <f t="shared" si="11"/>
        <v>65096</v>
      </c>
      <c r="F65" s="46">
        <f t="shared" si="11"/>
        <v>68464</v>
      </c>
      <c r="G65" s="46">
        <f t="shared" si="11"/>
        <v>71070</v>
      </c>
      <c r="H65" s="46">
        <f t="shared" si="11"/>
        <v>77490</v>
      </c>
      <c r="I65" s="46">
        <f t="shared" si="11"/>
        <v>80216</v>
      </c>
      <c r="J65" s="46">
        <f t="shared" si="11"/>
        <v>83409</v>
      </c>
      <c r="K65" s="37">
        <f t="shared" si="11"/>
        <v>813097</v>
      </c>
    </row>
    <row r="66" spans="1:11" ht="12.75">
      <c r="A66" s="7"/>
      <c r="D66" s="45"/>
      <c r="E66" s="45"/>
      <c r="F66" s="45"/>
      <c r="G66" s="45"/>
      <c r="H66" s="45"/>
      <c r="I66" s="45"/>
      <c r="J66" s="45"/>
      <c r="K66" s="45"/>
    </row>
    <row r="67" spans="1:11" ht="12.75">
      <c r="A67" s="7" t="s">
        <v>32</v>
      </c>
      <c r="D67" s="15">
        <f aca="true" t="shared" si="12" ref="D67:J67">D65-D32-D61</f>
        <v>561</v>
      </c>
      <c r="E67" s="15">
        <f t="shared" si="12"/>
        <v>426</v>
      </c>
      <c r="F67" s="15">
        <f t="shared" si="12"/>
        <v>775</v>
      </c>
      <c r="G67" s="15">
        <f t="shared" si="12"/>
        <v>554</v>
      </c>
      <c r="H67" s="15">
        <f t="shared" si="12"/>
        <v>858</v>
      </c>
      <c r="I67" s="15">
        <f t="shared" si="12"/>
        <v>1838</v>
      </c>
      <c r="J67" s="15">
        <f t="shared" si="12"/>
        <v>19712</v>
      </c>
      <c r="K67" s="15">
        <f>SUM(D67:J67)</f>
        <v>24724</v>
      </c>
    </row>
    <row r="68" spans="1:11" ht="12.75">
      <c r="A68" s="1" t="s">
        <v>33</v>
      </c>
      <c r="D68" s="15">
        <v>-561</v>
      </c>
      <c r="E68" s="15">
        <v>-100</v>
      </c>
      <c r="F68" s="15">
        <v>-100</v>
      </c>
      <c r="G68" s="15">
        <v>100</v>
      </c>
      <c r="H68" s="15">
        <v>100</v>
      </c>
      <c r="I68" s="15">
        <v>400</v>
      </c>
      <c r="J68" s="15">
        <v>161</v>
      </c>
      <c r="K68" s="15">
        <f>SUM(D68:J68)</f>
        <v>0</v>
      </c>
    </row>
    <row r="69" spans="1:11" ht="12.75">
      <c r="A69" s="32" t="s">
        <v>34</v>
      </c>
      <c r="B69" s="33"/>
      <c r="C69" s="33"/>
      <c r="D69" s="13">
        <f aca="true" t="shared" si="13" ref="D69:K69">SUM(D67:D68)</f>
        <v>0</v>
      </c>
      <c r="E69" s="13">
        <f t="shared" si="13"/>
        <v>326</v>
      </c>
      <c r="F69" s="13">
        <f t="shared" si="13"/>
        <v>675</v>
      </c>
      <c r="G69" s="13">
        <f t="shared" si="13"/>
        <v>654</v>
      </c>
      <c r="H69" s="13">
        <f t="shared" si="13"/>
        <v>958</v>
      </c>
      <c r="I69" s="13">
        <f t="shared" si="13"/>
        <v>2238</v>
      </c>
      <c r="J69" s="13">
        <f t="shared" si="13"/>
        <v>19873</v>
      </c>
      <c r="K69" s="14">
        <f t="shared" si="13"/>
        <v>24724</v>
      </c>
    </row>
    <row r="71" spans="4:11" ht="12.75">
      <c r="D71" s="47" t="s">
        <v>35</v>
      </c>
      <c r="E71" s="47" t="s">
        <v>35</v>
      </c>
      <c r="F71" s="47" t="s">
        <v>35</v>
      </c>
      <c r="G71" s="47" t="s">
        <v>35</v>
      </c>
      <c r="H71" s="47" t="s">
        <v>35</v>
      </c>
      <c r="I71" s="47" t="s">
        <v>35</v>
      </c>
      <c r="J71" s="47" t="s">
        <v>35</v>
      </c>
      <c r="K71" s="47" t="s">
        <v>35</v>
      </c>
    </row>
    <row r="72" spans="1:11" ht="15.75" customHeight="1">
      <c r="A72" s="16" t="s">
        <v>36</v>
      </c>
      <c r="D72" s="48">
        <f aca="true" t="shared" si="14" ref="D72:K72">(D63/D6)*100</f>
        <v>97.75394109867965</v>
      </c>
      <c r="E72" s="48">
        <f t="shared" si="14"/>
        <v>98.0013620347615</v>
      </c>
      <c r="F72" s="48">
        <f t="shared" si="14"/>
        <v>98.00025747757799</v>
      </c>
      <c r="G72" s="48">
        <f t="shared" si="14"/>
        <v>98.00033281562015</v>
      </c>
      <c r="H72" s="48">
        <f t="shared" si="14"/>
        <v>98.00012778736183</v>
      </c>
      <c r="I72" s="48">
        <f>(I63/I6)*100</f>
        <v>97.9986231313926</v>
      </c>
      <c r="J72" s="48">
        <f t="shared" si="14"/>
        <v>97.99874328666105</v>
      </c>
      <c r="K72" s="62">
        <f t="shared" si="14"/>
        <v>97.88755429084918</v>
      </c>
    </row>
    <row r="73" spans="4:11" ht="12.75">
      <c r="D73" s="48"/>
      <c r="E73" s="48"/>
      <c r="F73" s="48"/>
      <c r="G73" s="48"/>
      <c r="H73" s="48"/>
      <c r="I73" s="48"/>
      <c r="J73" s="48"/>
      <c r="K73" s="49"/>
    </row>
    <row r="74" spans="1:11" ht="12.75">
      <c r="A74" s="16" t="s">
        <v>37</v>
      </c>
      <c r="D74" s="48">
        <f aca="true" t="shared" si="15" ref="D74:K74">D32/D18*100</f>
        <v>97.41891960085948</v>
      </c>
      <c r="E74" s="48">
        <f t="shared" si="15"/>
        <v>97.14753753437833</v>
      </c>
      <c r="F74" s="48">
        <f t="shared" si="15"/>
        <v>96.907659269864</v>
      </c>
      <c r="G74" s="48">
        <f t="shared" si="15"/>
        <v>96.60803158890549</v>
      </c>
      <c r="H74" s="48">
        <f t="shared" si="15"/>
        <v>96.24233899326836</v>
      </c>
      <c r="I74" s="48">
        <f>I32/I18*100</f>
        <v>94.15000960984048</v>
      </c>
      <c r="J74" s="48">
        <f t="shared" si="15"/>
        <v>73.31438042402338</v>
      </c>
      <c r="K74" s="62">
        <f t="shared" si="15"/>
        <v>94.33968135052041</v>
      </c>
    </row>
    <row r="75" spans="4:11" ht="12.75">
      <c r="D75" s="48"/>
      <c r="E75" s="48"/>
      <c r="F75" s="48"/>
      <c r="G75" s="48"/>
      <c r="H75" s="48"/>
      <c r="I75" s="48"/>
      <c r="J75" s="48"/>
      <c r="K75" s="49"/>
    </row>
    <row r="76" spans="1:11" ht="12.75">
      <c r="A76" s="51" t="s">
        <v>38</v>
      </c>
      <c r="B76" s="52"/>
      <c r="C76" s="52"/>
      <c r="D76" s="48">
        <f aca="true" t="shared" si="16" ref="D76:K76">((D65+D68-D61)/D18)*100</f>
        <v>97.41891960085948</v>
      </c>
      <c r="E76" s="48">
        <f t="shared" si="16"/>
        <v>97.63747576609207</v>
      </c>
      <c r="F76" s="48">
        <f t="shared" si="16"/>
        <v>97.8740157480315</v>
      </c>
      <c r="G76" s="48">
        <f t="shared" si="16"/>
        <v>97.50469583339047</v>
      </c>
      <c r="H76" s="48">
        <f t="shared" si="16"/>
        <v>97.4454938209585</v>
      </c>
      <c r="I76" s="48">
        <f t="shared" si="16"/>
        <v>96.83836248318278</v>
      </c>
      <c r="J76" s="48">
        <f t="shared" si="16"/>
        <v>96.18793305863124</v>
      </c>
      <c r="K76" s="62">
        <f t="shared" si="16"/>
        <v>97.29855227869204</v>
      </c>
    </row>
  </sheetData>
  <mergeCells count="5">
    <mergeCell ref="A76:C76"/>
    <mergeCell ref="A1:K1"/>
    <mergeCell ref="A20:C20"/>
    <mergeCell ref="A44:C44"/>
    <mergeCell ref="A61:C61"/>
  </mergeCells>
  <printOptions horizontalCentered="1"/>
  <pageMargins left="0.7874015748031497" right="0.2755905511811024" top="0.5118110236220472" bottom="0.4724409448818898" header="0.31496062992125984" footer="0.1968503937007874"/>
  <pageSetup fitToHeight="1" fitToWidth="1" horizontalDpi="300" verticalDpi="300" orientation="portrait" paperSize="9" scale="77" r:id="rId1"/>
  <headerFooter alignWithMargins="0">
    <oddHeader>&amp;R&amp;"Arial,Bold"&amp;12&amp;UAppendix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PRADY</dc:creator>
  <cp:keywords/>
  <dc:description/>
  <cp:lastModifiedBy>City of Salford</cp:lastModifiedBy>
  <cp:lastPrinted>2006-02-08T08:37:59Z</cp:lastPrinted>
  <dcterms:created xsi:type="dcterms:W3CDTF">2003-02-06T09:20:34Z</dcterms:created>
  <dcterms:modified xsi:type="dcterms:W3CDTF">2006-02-13T15:26:30Z</dcterms:modified>
  <cp:category/>
  <cp:version/>
  <cp:contentType/>
  <cp:contentStatus/>
</cp:coreProperties>
</file>